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dido" sheetId="1" r:id="rId5"/>
    <sheet state="visible" name="Tarifas" sheetId="2" r:id="rId6"/>
  </sheets>
  <definedNames/>
  <calcPr/>
</workbook>
</file>

<file path=xl/sharedStrings.xml><?xml version="1.0" encoding="utf-8"?>
<sst xmlns="http://schemas.openxmlformats.org/spreadsheetml/2006/main" count="1578" uniqueCount="502">
  <si>
    <t>TARIFAS Y FUENTES</t>
  </si>
  <si>
    <t>IVA catálogo</t>
  </si>
  <si>
    <t>HOJA DE PEDIDO
TARIFA 2026</t>
  </si>
  <si>
    <t>N.º de pedido</t>
  </si>
  <si>
    <t>Fecha</t>
  </si>
  <si>
    <t>FICHA DE CLIENTE</t>
  </si>
  <si>
    <t>Nombre / razón social</t>
  </si>
  <si>
    <t>NIF / CIF</t>
  </si>
  <si>
    <t>Persona de contacto</t>
  </si>
  <si>
    <t>Teléfono</t>
  </si>
  <si>
    <t>Correo electrónico</t>
  </si>
  <si>
    <t>Dirección de facturación</t>
  </si>
  <si>
    <t>CP / población</t>
  </si>
  <si>
    <t>Provincia</t>
  </si>
  <si>
    <t>País</t>
  </si>
  <si>
    <t>N.º cliente</t>
  </si>
  <si>
    <t>DATOS Y ZONA DE ENVÍO</t>
  </si>
  <si>
    <t>Destinatario / contacto</t>
  </si>
  <si>
    <t>Dirección de entrega</t>
  </si>
  <si>
    <t>País / zona de envío</t>
  </si>
  <si>
    <t>Método</t>
  </si>
  <si>
    <t>Observaciones</t>
  </si>
  <si>
    <t>Juan confirma el 01/10/2026 que los precios web incluyen 21% IVA. Neto = precio publicado / 1,21.</t>
  </si>
  <si>
    <t>Precio publicado = referencia de la web. Precio sin IVA = tarifa neta que alimenta el pedido. No se usan rangos de productos padre.</t>
  </si>
  <si>
    <t>Celdas amarillas: datos y cantidades a completar. SKU pendiente: confirmar referencia. Precio vacío: solicitar tarifa neta.</t>
  </si>
  <si>
    <t>Optimist: 10% de descuento al superar 10 embarcaciones (11 o más). Tucanito y sus accesorios quedan excluidos.</t>
  </si>
  <si>
    <t>Barcos · Tucanito</t>
  </si>
  <si>
    <t>SKU</t>
  </si>
  <si>
    <t>Nombre</t>
  </si>
  <si>
    <t>Cantidad</t>
  </si>
  <si>
    <t>Precio sin IVA</t>
  </si>
  <si>
    <t>Suma</t>
  </si>
  <si>
    <t>Pendiente</t>
  </si>
  <si>
    <t>Tucanito Básico 2026</t>
  </si>
  <si>
    <t>Las referencias pendientes de SKU no se han sustituido por códigos inventados. Disponibilidad y transporte se confirman antes de cerrar el pedido.</t>
  </si>
  <si>
    <t>Precios web incluyen IVA</t>
  </si>
  <si>
    <t>Sí</t>
  </si>
  <si>
    <t>Selecciona Sí o No solo cuando esté confirmado. Si eliges Sí, introduce el tipo de IVA en B3.</t>
  </si>
  <si>
    <t>Nombre / variante</t>
  </si>
  <si>
    <t>Línea</t>
  </si>
  <si>
    <t>Categoría</t>
  </si>
  <si>
    <t>Precio publicado</t>
  </si>
  <si>
    <t>Tratamiento IVA</t>
  </si>
  <si>
    <t>Fuente</t>
  </si>
  <si>
    <t>Disponibilidad / observaciones</t>
  </si>
  <si>
    <t>Fecha consulta</t>
  </si>
  <si>
    <t>Barcos</t>
  </si>
  <si>
    <t>Tucanito</t>
  </si>
  <si>
    <t>Neto confirmado por Juan</t>
  </si>
  <si>
    <t>Tarifa 2026 facilitada por Juan. Confirmación: sin IVA.</t>
  </si>
  <si>
    <t>Confirmar disponibilidad</t>
  </si>
  <si>
    <t>Tucanito Gennaker 2026</t>
  </si>
  <si>
    <t>Tucanito carro de varada 2026</t>
  </si>
  <si>
    <t>Tucanito funda 2026</t>
  </si>
  <si>
    <t>Paquete Optimist WWS · Casco, aparejo escuela EX1052, vela envergada EX1061, foils madera EX11153 y carro TRD Practic
PVP con aprovisionamiento estimado. Entrega al cliente y accesorios adicionales no incluidos</t>
  </si>
  <si>
    <t>Optimist de plástico</t>
  </si>
  <si>
    <t>PVP sin IVA</t>
  </si>
  <si>
    <t>Paquete ForSailors. PVP y alcance aprobados por Juan el 01/10/2026.</t>
  </si>
  <si>
    <t>Incluye casco, aparejo escuela, vela envergada, foils madera y carro. PVP con transporte de aprovisionamiento estimado. Entrega al cliente y accesorios adicionales no incluidos.</t>
  </si>
  <si>
    <t>WorldWideSailor Optimist de plástico · Solo casco
PVP con transporte de aprovisionamiento estimado; entrega al cliente no incluida</t>
  </si>
  <si>
    <t>PVP neto definido por Juan el 01/10/2026. Referencia: https://worldwidesailor.com/</t>
  </si>
  <si>
    <t>PVP con transporte de aprovisionamiento estimado. Entrega al cliente y accesorios adicionales no incluidos.</t>
  </si>
  <si>
    <t>01 4 08001 00 00</t>
  </si>
  <si>
    <t>CARRO DE VARADA HANSA 303</t>
  </si>
  <si>
    <t>ForSchool</t>
  </si>
  <si>
    <t>Carros y transporte</t>
  </si>
  <si>
    <t>Barcos · Optimist de plástico</t>
  </si>
  <si>
    <t>Disponible bajo pedido</t>
  </si>
  <si>
    <t>01 2 08001 00 RD</t>
  </si>
  <si>
    <t>Carro de Varada ILCA Laser Set-Up TRD – Apoyo Seguro y Montaje Fácil</t>
  </si>
  <si>
    <t>01 1 08001 00 00</t>
  </si>
  <si>
    <t>Carro de Varada Optimist EX1076</t>
  </si>
  <si>
    <t>ForSchool · Carros y transporte</t>
  </si>
  <si>
    <t>Solo quedan 2 disponibles (puede reservarse)</t>
  </si>
  <si>
    <t>01 1 08002 00 RD</t>
  </si>
  <si>
    <t>Carro de Varada Optimist Practic TDR | Desmontable</t>
  </si>
  <si>
    <t>01 2 08005 00 RD</t>
  </si>
  <si>
    <t>Carro de Varada Practic ILCA (Laser) TRD | Ligero y Resistente</t>
  </si>
  <si>
    <t>01 1 08007 00 00</t>
  </si>
  <si>
    <t>Carro Optimist con cincha</t>
  </si>
  <si>
    <t>01 4 08016 00 00</t>
  </si>
  <si>
    <t>Clip para sujetar rueda  carro de varada galvanizado – EX10791</t>
  </si>
  <si>
    <t>Hay existencias (puede reservarse)</t>
  </si>
  <si>
    <t>01 1 08003 00 00</t>
  </si>
  <si>
    <t>Rueda impinchable TRD 370 mm para carro – eje 25 mm</t>
  </si>
  <si>
    <t>01 1 06001 00 00</t>
  </si>
  <si>
    <t>Bolsa de Palos y Vela Optimist EX1068 | ForSailors</t>
  </si>
  <si>
    <t>Fundas y protección</t>
  </si>
  <si>
    <t>01 1 06002 00 00</t>
  </si>
  <si>
    <t>Bolsa de Palos y Vela para Optimist EX1063 – Ligereza y Protección Optiparts</t>
  </si>
  <si>
    <t>01 2 06002 00 BL</t>
  </si>
  <si>
    <t>FUNDA CASCO ILCA DEVOTI – ILCA BOTTOM COVER DEVOTI · Color: azul</t>
  </si>
  <si>
    <t>ForSchool · Fundas y protección</t>
  </si>
  <si>
    <t>01 2 06003 00 GR</t>
  </si>
  <si>
    <t>FUNDA CASCO ILCA DEVOTI – ILCA BOTTOM COVER DEVOTI · Color: gris</t>
  </si>
  <si>
    <t>01 1 06004 00 00</t>
  </si>
  <si>
    <t>Funda Casco Optimist SD EX1091S – Protección Económica Optiparts</t>
  </si>
  <si>
    <t>Solo quedan 1 disponibles (puede reservarse)</t>
  </si>
  <si>
    <t>01 1 06009 00 00</t>
  </si>
  <si>
    <t>Funda Casco Optimist Transpirable – Optiparts EX1091</t>
  </si>
  <si>
    <t>01 2 06008 00 00</t>
  </si>
  <si>
    <t>Funda casco SD Laser ILCA EX2044</t>
  </si>
  <si>
    <t>01 2 06005 00 BL</t>
  </si>
  <si>
    <t>FUNDA CUBIERTA ILCA DEVOTI – ILCA BOTTOM COVER DEVOTI · Color: azul</t>
  </si>
  <si>
    <t>01 2 06006 00 GR</t>
  </si>
  <si>
    <t>FUNDA CUBIERTA ILCA DEVOTI – ILCA BOTTOM COVER DEVOTI · Color: gris</t>
  </si>
  <si>
    <t>01 1 06006 00 00</t>
  </si>
  <si>
    <t>Funda Cubierta Optimist con Sable EX1080 – Protección Superior Optiparts</t>
  </si>
  <si>
    <t>01 1 06007 00 00</t>
  </si>
  <si>
    <t>Funda cubierta Optimist Optiparts EX1082</t>
  </si>
  <si>
    <t>01 2 06007 00 00</t>
  </si>
  <si>
    <t>Funda cubierta SD para ILCA® – EX2041</t>
  </si>
  <si>
    <t>01 1 06013 00 GY</t>
  </si>
  <si>
    <t>Funda de Optimist Acolchada ONE SAIL</t>
  </si>
  <si>
    <t>01 1 06014 00 GY</t>
  </si>
  <si>
    <t>Funda Optimist no acolchada One Sail</t>
  </si>
  <si>
    <t>01 1 06011 00 00</t>
  </si>
  <si>
    <t>Funda orza y timón Optimist Optiparts EX1119</t>
  </si>
  <si>
    <t>01 2 06010 00 00</t>
  </si>
  <si>
    <t>Funda orza y timón para Laser® y ILCA® – EX2050 – WINDESIGN</t>
  </si>
  <si>
    <t>01 2 06011 00 00</t>
  </si>
  <si>
    <t>Funda palos para Laser® y ILCA® – EX2038</t>
  </si>
  <si>
    <t>01 4 06001 00 BL</t>
  </si>
  <si>
    <t>Funda protectora azul marino para Iris 50 Plastimo 38184</t>
  </si>
  <si>
    <t>ForSchool · Repuestos y mantenimiento</t>
  </si>
  <si>
    <t>01 2 05037 00 00</t>
  </si>
  <si>
    <t>ACHICADOR AUTOMÁTICO ILCA -AUTO BAILER EX2070</t>
  </si>
  <si>
    <t>Repuestos y mantenimiento</t>
  </si>
  <si>
    <t>01 1 03016 00 BK</t>
  </si>
  <si>
    <t>Aro de fogonadura estándar Optimist Optiparts EX1208</t>
  </si>
  <si>
    <t>01 2 07041 00 00</t>
  </si>
  <si>
    <t>Articulación desmontable Optiparts 652950 para stick de 16 mm</t>
  </si>
  <si>
    <t>01 1 05084 00 YW</t>
  </si>
  <si>
    <t>Cabo flotante amarillo 5,5 mm</t>
  </si>
  <si>
    <t>01 1 05085 00 BL</t>
  </si>
  <si>
    <t>Cabo flotante azul 5,5 mm</t>
  </si>
  <si>
    <t>01 1 07011 00 00</t>
  </si>
  <si>
    <t>Carlinga regulable Optimist Optiparts SCHOOL EX1202</t>
  </si>
  <si>
    <t>01 1 05033 00 00</t>
  </si>
  <si>
    <t>Cincha acolchada Optimist Optiparts EX1450</t>
  </si>
  <si>
    <t>01 4 07026 00 WH</t>
  </si>
  <si>
    <t>Cinta Dacron Insignia blanca PSP 75 mm × 1,5 m PSA500511</t>
  </si>
  <si>
    <t>01 4 07031 00 YW</t>
  </si>
  <si>
    <t>Cinta de reparación de spinnaker amarilla PSP 50 mm × 4,5 m PSA500441</t>
  </si>
  <si>
    <t>01 4 07035 00 WH</t>
  </si>
  <si>
    <t>Cinta de reparación de spinnaker blanca PSP 50 mm × 4,5 m PSA500411</t>
  </si>
  <si>
    <t>01 4 07039 00 OR</t>
  </si>
  <si>
    <t>Cinta de reparación de spinnaker naranja PSP 50 mm × 4,5 m PSA500450</t>
  </si>
  <si>
    <t>01 4 07040 00 BK</t>
  </si>
  <si>
    <t>Cinta de reparación de spinnaker negra PSP 50 mm × 4,5 m PSA500490</t>
  </si>
  <si>
    <t>01 4 07042 00 RD</t>
  </si>
  <si>
    <t>Cinta de reparación de spinnaker roja PSP 50 mm × 4,5 m PSA500460</t>
  </si>
  <si>
    <t>01 4 07043 00 PK</t>
  </si>
  <si>
    <t>Cinta de reparación de spinnaker rosa PSP 50 mm × 4,5 m PSA500429</t>
  </si>
  <si>
    <t>01 4 07044 00 GR</t>
  </si>
  <si>
    <t>Cinta de reparación de spinnaker verde PSP 50 mm × 4,5 m PSA500430</t>
  </si>
  <si>
    <t>01 4 07029 00 WH</t>
  </si>
  <si>
    <t>Cinta de reparación de velas PSP Heavy Duty blanca 50 mm × 2 m PSD500211</t>
  </si>
  <si>
    <t>01 4 07028 00 00</t>
  </si>
  <si>
    <t>Cinta Mylar transparente PSP 150 mm × 3 m PSG150310</t>
  </si>
  <si>
    <t>01 4 07027 00 00</t>
  </si>
  <si>
    <t>Cinta Mylar transparente PSP 50 mm × 3 m PSG050310</t>
  </si>
  <si>
    <t>01 4 07017 00 YW</t>
  </si>
  <si>
    <t>Compás Iris 50 amarillo</t>
  </si>
  <si>
    <t>01 4 07018 00 00</t>
  </si>
  <si>
    <t>Compás Iris 50 arena Plastimo 63603</t>
  </si>
  <si>
    <t>01 4 07019 00 BL</t>
  </si>
  <si>
    <t>Compás Iris 50 azul</t>
  </si>
  <si>
    <t>01 4 07020 00 00</t>
  </si>
  <si>
    <t>Compás Iris 50 caqui</t>
  </si>
  <si>
    <t>01 4 07021 00 OR</t>
  </si>
  <si>
    <t>Compás Iris 50 naranja Plastimo 63599</t>
  </si>
  <si>
    <t>01 4 07022 00 PK</t>
  </si>
  <si>
    <t>Compás Iris 50 rosa Plastimo 63601</t>
  </si>
  <si>
    <t>01 1 03030 00 GY</t>
  </si>
  <si>
    <t>Cuello protector de mástil Optimist Optiparts EX1211</t>
  </si>
  <si>
    <t>01 1 05048 00 00</t>
  </si>
  <si>
    <t>Escota Optimist PRO Technora/Dyneema Optiparts EX1379P</t>
  </si>
  <si>
    <t>01 1 07043 00 00</t>
  </si>
  <si>
    <t>Gancho plástico Optiparts EX1443 para Optimist</t>
  </si>
  <si>
    <t>01 1 04016 00 00</t>
  </si>
  <si>
    <t>JUEGO HERRAJES TIMÓN OPTIMIST EX1160 · TAMAÑO: CORTO</t>
  </si>
  <si>
    <t>01 1 04018 00 00</t>
  </si>
  <si>
    <t>JUEGO HERRAJES TIMÓN OPTIMIST EX1160 · TAMAÑO: JUEGO COMPLETO</t>
  </si>
  <si>
    <t>01 1 04017 00 00</t>
  </si>
  <si>
    <t>JUEGO HERRAJES TIMÓN OPTIMIST EX1160 · TAMAÑO: LARGO</t>
  </si>
  <si>
    <t>01 1 07047 00 00</t>
  </si>
  <si>
    <t>Kit de protección Optimist Optiparts EX1118</t>
  </si>
  <si>
    <t>01 1 04019 00 00</t>
  </si>
  <si>
    <t>Kit de protección para cajera de orza Optimist – EX1117</t>
  </si>
  <si>
    <t>01 1 05012 00 BK</t>
  </si>
  <si>
    <t>POLEA GIRATORIA HARKEN CARBO RATCHET 57mm · Color: negro</t>
  </si>
  <si>
    <t>01 1 05013 00 RD</t>
  </si>
  <si>
    <t>POLEA GIRATORIA HARKEN CARBO RATCHET 57mm · Color: rojo</t>
  </si>
  <si>
    <t>01 2 05075 00 00</t>
  </si>
  <si>
    <t>Polea Harken Carbo de trinquete 57 mm</t>
  </si>
  <si>
    <t>01 4 05012 00 00</t>
  </si>
  <si>
    <t>Polea winch 57 mm para Optimist y Laser®/ILCA® – EX1299 EX</t>
  </si>
  <si>
    <t>01 1 07052 00 00</t>
  </si>
  <si>
    <t>Protección de proa</t>
  </si>
  <si>
    <t>Hay existencias (puede reservarse) · Sin etiqueta de stock en la página antes de seleccionar una variante; los datos públicos de las variantes indican Hay existencias (puede reservarse) para todas las variantes.</t>
  </si>
  <si>
    <t>01 1 07053 00 00</t>
  </si>
  <si>
    <t>Protectores de esquinas</t>
  </si>
  <si>
    <t>01 1 03059 00 00</t>
  </si>
  <si>
    <t>Seguro de mástil Optimist Optiparts EX1203</t>
  </si>
  <si>
    <t>01 1 04020 00 00</t>
  </si>
  <si>
    <t>Seguro de timón Optimist – EX1180</t>
  </si>
  <si>
    <t>01 4 07024 00 00</t>
  </si>
  <si>
    <t>Soporte de PVC para Iris 50 Plastimo 17244</t>
  </si>
  <si>
    <t>01 2 05078 00 00</t>
  </si>
  <si>
    <t>Tapón Achicador para Laser® y ILCA® – EX2076 | Optiparts</t>
  </si>
  <si>
    <t>01 1 04030 00 00</t>
  </si>
  <si>
    <t>Tope de goma para orza Optimist Optiparts EX1116</t>
  </si>
  <si>
    <t>01 1 04031 00 00</t>
  </si>
  <si>
    <t>Tope de goma protector de orza Optimist PRO – EX1067</t>
  </si>
  <si>
    <t>01 1 05075 00 00</t>
  </si>
  <si>
    <t>Vectran 1,2 mm en minibobina de 15 m</t>
  </si>
  <si>
    <t>01 1 05077 00 00</t>
  </si>
  <si>
    <t>Vectran 2,2 mm en minibobina de 8 m</t>
  </si>
  <si>
    <t>01 1 05078 00 00</t>
  </si>
  <si>
    <t>Vectran 3 mm en minibobina de 16 m</t>
  </si>
  <si>
    <t>01 1 05079 00 00</t>
  </si>
  <si>
    <t>Vectran 4 mm en minibobina de 12 m</t>
  </si>
  <si>
    <t>ForSchool · Seguridad y material colectivo</t>
  </si>
  <si>
    <t>01 1 07063 00 GY</t>
  </si>
  <si>
    <t>Achicador Optimist 3,5 L Optiparts EX1442 · Color: gris</t>
  </si>
  <si>
    <t>01 1 07064 00 RD</t>
  </si>
  <si>
    <t>Achicador Optimist 3,5 L Optiparts EX1442 · Color: rojo</t>
  </si>
  <si>
    <t>01 1 07065 00 GR</t>
  </si>
  <si>
    <t>Achicador Optimist 3,5 L Optiparts EX1442 · Color: verde</t>
  </si>
  <si>
    <t>01 5 07158 LL BL</t>
  </si>
  <si>
    <t>Ayuda a la flotación Typhoon Hudson 50N · Color: azul, Talla: M-L</t>
  </si>
  <si>
    <t>01 5 07159 2L BL</t>
  </si>
  <si>
    <t>Ayuda a la flotación Typhoon Hudson 50N · Color: azul, Talla: XL-XXL</t>
  </si>
  <si>
    <t>01 5 07160 XS BL</t>
  </si>
  <si>
    <t>Ayuda a la flotación Typhoon Hudson 50N · Color: azul, Talla: XS-S</t>
  </si>
  <si>
    <t>01 5 07161 LL OR</t>
  </si>
  <si>
    <t>Ayuda a la flotación Typhoon Hudson 50N · Color: naranja, Talla: M-L</t>
  </si>
  <si>
    <t>01 5 07162 2L OR</t>
  </si>
  <si>
    <t>Ayuda a la flotación Typhoon Hudson 50N · Color: naranja, Talla: XL-XXL</t>
  </si>
  <si>
    <t>01 5 07163 XS OR</t>
  </si>
  <si>
    <t>Ayuda a la flotación Typhoon Hudson 50N · Color: naranja, Talla: XS-S</t>
  </si>
  <si>
    <t>01 5 07164 LL BK</t>
  </si>
  <si>
    <t>Ayuda a la flotación Typhoon Hudson 50N · Color: negro, Talla: M-L</t>
  </si>
  <si>
    <t xml:space="preserve"> · Sin etiqueta de disponibilidad visible en la ficha; el estado técnico público indica in-stock.</t>
  </si>
  <si>
    <t>01 5 07165 2L BK</t>
  </si>
  <si>
    <t>Ayuda a la flotación Typhoon Hudson 50N · Color: negro, Talla: XL-XXL</t>
  </si>
  <si>
    <t>01 5 07166 XS BK</t>
  </si>
  <si>
    <t>Ayuda a la flotación Typhoon Hudson 50N · Color: negro, Talla: XS-S</t>
  </si>
  <si>
    <t>01 1 05001 00 00</t>
  </si>
  <si>
    <t>Cabo de remolque flotante – OPTIMIST</t>
  </si>
  <si>
    <t>Seguridad y material colectivo</t>
  </si>
  <si>
    <t>01 2 07012 00 00</t>
  </si>
  <si>
    <t>Cabo flotante remolque</t>
  </si>
  <si>
    <t>01 1 07025 00 WH</t>
  </si>
  <si>
    <t>Flotador blanco 48 L</t>
  </si>
  <si>
    <t>01 1 07028 00 GY</t>
  </si>
  <si>
    <t>Flotador gris 43 L con logotipo</t>
  </si>
  <si>
    <t>01 1 07027 00 GY</t>
  </si>
  <si>
    <t>Flotador Gris 43L para Optimist EX1215</t>
  </si>
  <si>
    <t>01 1 07023 00 YW</t>
  </si>
  <si>
    <t>Flotador Optimist 48L con tubo Optiparts – varios colores · Color: amarillo</t>
  </si>
  <si>
    <t>01 1 07024 00 BL</t>
  </si>
  <si>
    <t>Flotador Optimist 48L con tubo Optiparts – varios colores · Color: azul</t>
  </si>
  <si>
    <t>01 1 07029 00 BL</t>
  </si>
  <si>
    <t>Flotador Optimist 48L con tubo Optiparts – varios colores · Color: azul-gris</t>
  </si>
  <si>
    <t>01 1 07030 00 OR</t>
  </si>
  <si>
    <t>Flotador Optimist 48L con tubo Optiparts – varios colores · Color: naranja</t>
  </si>
  <si>
    <t>01 1 07032 00 RD</t>
  </si>
  <si>
    <t>Flotador Optimist 48L con tubo Optiparts – varios colores · Color: rojo</t>
  </si>
  <si>
    <t>01 1 07033 00 PK</t>
  </si>
  <si>
    <t>Flotador Optimist 48L con tubo Optiparts – varios colores · Color: rosa</t>
  </si>
  <si>
    <t>01 1 07026 00 WH</t>
  </si>
  <si>
    <t>Flotador Optimist blanco PVC 43L – EX1220</t>
  </si>
  <si>
    <t>01 1 07031 00 RD</t>
  </si>
  <si>
    <t>Flotador Optimist rojo 43 L Optiparts EX1216</t>
  </si>
  <si>
    <t>01 1 07046 00 GY</t>
  </si>
  <si>
    <t>Remo Optimist Optiparts EX1440 y EX1440G · Color: gris</t>
  </si>
  <si>
    <t>01 1 07045 00 OR</t>
  </si>
  <si>
    <t>Remo Optimist Optiparts EX1440 y EX1440G · Color: naranja</t>
  </si>
  <si>
    <t>01 5 07175 JJ YW</t>
  </si>
  <si>
    <t>Typhoon Essential 50N – Chaleco de flotabilidad para escuelas de vela · Color: Amarillo, Talla: Junior</t>
  </si>
  <si>
    <t>01 5 07177 LL YW</t>
  </si>
  <si>
    <t>Typhoon Essential 50N – Chaleco de flotabilidad para escuelas de vela · Color: Amarillo, Talla: M/L</t>
  </si>
  <si>
    <t>01 5 07178 2L YW</t>
  </si>
  <si>
    <t>Typhoon Essential 50N – Chaleco de flotabilidad para escuelas de vela · Color: Amarillo, Talla: XL/XXL</t>
  </si>
  <si>
    <t>01 5 07176 XS YW</t>
  </si>
  <si>
    <t>Typhoon Essential 50N – Chaleco de flotabilidad para escuelas de vela · Color: Amarillo, Talla: XS/S</t>
  </si>
  <si>
    <t>01 5 07171 JJ BL</t>
  </si>
  <si>
    <t>Typhoon Essential 50N – Chaleco de flotabilidad para escuelas de vela · Color: Azul, Talla: Junior</t>
  </si>
  <si>
    <t>01 5 07173 LL BL</t>
  </si>
  <si>
    <t>Typhoon Essential 50N – Chaleco de flotabilidad para escuelas de vela · Color: Azul, Talla: M/L</t>
  </si>
  <si>
    <t>01 5 07174 2L BL</t>
  </si>
  <si>
    <t>Typhoon Essential 50N – Chaleco de flotabilidad para escuelas de vela · Color: Azul, Talla: XL/XXL</t>
  </si>
  <si>
    <t>01 5 07172 XS BL</t>
  </si>
  <si>
    <t>Typhoon Essential 50N – Chaleco de flotabilidad para escuelas de vela · Color: Azul, Talla: XS/S</t>
  </si>
  <si>
    <t>01 5 07179 JJ BK</t>
  </si>
  <si>
    <t>Typhoon Essential 50N – Chaleco de flotabilidad para escuelas de vela · Color: Negro, Talla: Junior</t>
  </si>
  <si>
    <t>01 5 07181 LL BK</t>
  </si>
  <si>
    <t>Typhoon Essential 50N – Chaleco de flotabilidad para escuelas de vela · Color: Negro, Talla: M/L</t>
  </si>
  <si>
    <t>01 5 07182 2L BK</t>
  </si>
  <si>
    <t>Typhoon Essential 50N – Chaleco de flotabilidad para escuelas de vela · Color: Negro, Talla: XL/XXL</t>
  </si>
  <si>
    <t>01 5 07180 XS BK</t>
  </si>
  <si>
    <t>Typhoon Essential 50N – Chaleco de flotabilidad para escuelas de vela · Color: Negro, Talla: XS/S</t>
  </si>
  <si>
    <t>01 5 07167 JJ RD</t>
  </si>
  <si>
    <t>Typhoon Essential 50N – Chaleco de flotabilidad para escuelas de vela · Color: Rojo, Talla: Junior</t>
  </si>
  <si>
    <t>01 5 07169 LL RD</t>
  </si>
  <si>
    <t>Typhoon Essential 50N – Chaleco de flotabilidad para escuelas de vela · Color: Rojo, Talla: M/L</t>
  </si>
  <si>
    <t>01 5 07170 2L RD</t>
  </si>
  <si>
    <t>Typhoon Essential 50N – Chaleco de flotabilidad para escuelas de vela · Color: Rojo, Talla: XL/XXL</t>
  </si>
  <si>
    <t>01 5 07168 XS RD</t>
  </si>
  <si>
    <t>Typhoon Essential 50N – Chaleco de flotabilidad para escuelas de vela · Color: Rojo, Talla: XS/S</t>
  </si>
  <si>
    <t>ForSchool · Timones, orzas y dirección</t>
  </si>
  <si>
    <t>01 1 04013 00 00</t>
  </si>
  <si>
    <t>CAÑA ALUMINIO NEGRA OPTIMIST EX1122- ALUMINIUM TILLER BLACK</t>
  </si>
  <si>
    <t>01 1 04070 00 00</t>
  </si>
  <si>
    <t>Caña aluminio plata</t>
  </si>
  <si>
    <t>01 1 04015 00 00</t>
  </si>
  <si>
    <t>Elástico sujeta orzas Optimist – EX1113</t>
  </si>
  <si>
    <t>01 4 04012 00 00</t>
  </si>
  <si>
    <t>Empuñadura de espuma EVA Windesign 652961</t>
  </si>
  <si>
    <t>01 1 04034 00 00</t>
  </si>
  <si>
    <t>Extensión Deluxe 16 mm con empuñadura negra</t>
  </si>
  <si>
    <t>01 4 04016 00 RD</t>
  </si>
  <si>
    <t>Extensión estándar 16 mm con empuñadura golf</t>
  </si>
  <si>
    <t>01 4 04006 00 00</t>
  </si>
  <si>
    <t>Juego de palas de madera con herrajes</t>
  </si>
  <si>
    <t>01 4 04005 00 00</t>
  </si>
  <si>
    <t>Juego de palas GRP con herrajes</t>
  </si>
  <si>
    <t>01 4 04042 00 00</t>
  </si>
  <si>
    <t>Juego palas GRP sin herrajes</t>
  </si>
  <si>
    <t>01 4 04043 00 00</t>
  </si>
  <si>
    <t>Juego palas madera sin herrajes</t>
  </si>
  <si>
    <t>01 4 04001 00 00</t>
  </si>
  <si>
    <t>Orza Epoxi Optimist EX11105 – Foil One-Design Optiparts</t>
  </si>
  <si>
    <t>01 4 04002 00 00</t>
  </si>
  <si>
    <t>Orza Optimist Fibra EX11100 – Foil de Entrenamiento Optiparts</t>
  </si>
  <si>
    <t>01 4 04003 00 00</t>
  </si>
  <si>
    <t>Orza Optimist Madera EX11103 – Foil Escolar Optiparts</t>
  </si>
  <si>
    <t>01 4 04007 00 00</t>
  </si>
  <si>
    <t>Pala Timón Optimist Epoxi EX11055 – Con Herrajes Optiparts</t>
  </si>
  <si>
    <t>01 4 04008 00 00</t>
  </si>
  <si>
    <t>Pala Timón Optimist Fibra EX11050 – Con Herrajes Optiparts</t>
  </si>
  <si>
    <t>01 4 04009 00 00</t>
  </si>
  <si>
    <t>Pala Timón Optimist Madera EX11053 – Con Herrajes Optiparts</t>
  </si>
  <si>
    <t>01 1 04046 00 00</t>
  </si>
  <si>
    <t>Stick Optimist 16 mm Deluxe</t>
  </si>
  <si>
    <t>01 1 04035 00 00</t>
  </si>
  <si>
    <t>Stick Optimist 16 mm Deluxe Super Smooth Optiparts – EX1139</t>
  </si>
  <si>
    <t>01 4 04044 00 00</t>
  </si>
  <si>
    <t>Timón GRP sin herrajes</t>
  </si>
  <si>
    <t>01 4 04045 00 00</t>
  </si>
  <si>
    <t>Timón madera sin herrajes</t>
  </si>
  <si>
    <t>ForSchool · Velas y aparejo escuela</t>
  </si>
  <si>
    <t>01 4 03006 00 00</t>
  </si>
  <si>
    <t>Juego de palos Optimist de escuela</t>
  </si>
  <si>
    <t>01 4 03009 00 00</t>
  </si>
  <si>
    <t>Juego de palos Optimist para vela envergada</t>
  </si>
  <si>
    <t>01 4 02001 00 00</t>
  </si>
  <si>
    <t>Juego de vela Optimist reducida</t>
  </si>
  <si>
    <t>Timones, orzas y dirección</t>
  </si>
  <si>
    <t>01 4 03005 00 00</t>
  </si>
  <si>
    <t>Juego fijo de palos Optimist para vela envergada</t>
  </si>
  <si>
    <t>01 4 03010 00 00</t>
  </si>
  <si>
    <t>Mástil Optimist Escuela EX1010 – Palos Optimist Optiparts</t>
  </si>
  <si>
    <t>01 4 02009 00 00</t>
  </si>
  <si>
    <t>Vela Escuela Optimist envergada Optiparts – EX1061</t>
  </si>
  <si>
    <t>01 4 02011 00 00</t>
  </si>
  <si>
    <t>Vela Optimist de escuela</t>
  </si>
  <si>
    <t>Solo quedan 2 disponibles</t>
  </si>
  <si>
    <t>01 4 02008 00 WH</t>
  </si>
  <si>
    <t>Vela Optimist envergada blanca</t>
  </si>
  <si>
    <t>01 4 02007 00 WH</t>
  </si>
  <si>
    <t>Vela Optimist envergada blanca con rizo</t>
  </si>
  <si>
    <t>ForNaval · Agua a bordo, bombas y sanitarios</t>
  </si>
  <si>
    <t>01 6 04002 00 00</t>
  </si>
  <si>
    <t>Bomba de achique Johnson SPX AV500 y AV800, 12 V · Variante: AV500; 12 V; 38 l/min; 34 l/min a 1 m; 2,5 A; salida 3/4 pulgada</t>
  </si>
  <si>
    <t>01 6 04003 00 00</t>
  </si>
  <si>
    <t>Bomba de achique Johnson SPX AV500 y AV800, 12 V · Variante: AV800; 12 V; 50 l/min; 48 l/min a 1 m; 3,7 A; salida 3/4 pulgada</t>
  </si>
  <si>
    <t>01 6 04005 00 00</t>
  </si>
  <si>
    <t>Bomba de presión IMNASA, 12 V y 3,6 l/min</t>
  </si>
  <si>
    <t>01 6 04004 00 00</t>
  </si>
  <si>
    <t>Interruptor automático de achique IMNASA, 12/24 V y 20 A</t>
  </si>
  <si>
    <t>01 6 04006 00 00</t>
  </si>
  <si>
    <t>Manguera PVC para agua potable, 10 × 15 mm, rollo 25 m</t>
  </si>
  <si>
    <t>ForNaval · Cubierta, herrajes y maniobra</t>
  </si>
  <si>
    <t>01 6 02012 00 00</t>
  </si>
  <si>
    <t>Cornamusa Marine Town inoxidable 316, 102 mm</t>
  </si>
  <si>
    <t>01 6 02007 00 00</t>
  </si>
  <si>
    <t>Grillete lira inoxidable con eje cautivo, 6 mm</t>
  </si>
  <si>
    <t>01 6 02005 00 00</t>
  </si>
  <si>
    <t>Grillete lira inoxidable IMNASA, 6 y 8 mm · Variante: Lira; 6 mm</t>
  </si>
  <si>
    <t>01 6 02006 00 00</t>
  </si>
  <si>
    <t>Grillete lira inoxidable IMNASA, 6 y 8 mm · Variante: Lira; 8 mm</t>
  </si>
  <si>
    <t>01 6 02002 00 00</t>
  </si>
  <si>
    <t>Grillete recto inoxidable IMNASA, 6 y 8 mm · Variante: Recto; 6 mm</t>
  </si>
  <si>
    <t>01 6 02003 00 00</t>
  </si>
  <si>
    <t>Grillete recto inoxidable IMNASA, 6 y 8 mm · Variante: Recto; 8 mm</t>
  </si>
  <si>
    <t>01 6 02011 00 00</t>
  </si>
  <si>
    <t>Mosquetón Kong inoxidable con ojo, 60 mm</t>
  </si>
  <si>
    <t>Velas y aparejo escuela</t>
  </si>
  <si>
    <t>01 6 02009 00 00</t>
  </si>
  <si>
    <t>Mosquetón Kong inoxidable sin ojo, 60 y 80 mm · Variante: Sin ojo; 60 mm; varilla 6 mm</t>
  </si>
  <si>
    <t>01 6 02010 00 00</t>
  </si>
  <si>
    <t>Mosquetón Kong inoxidable sin ojo, 60 y 80 mm · Variante: Sin ojo; 80 mm; varilla 8 mm</t>
  </si>
  <si>
    <t>01 6 02013 00 00</t>
  </si>
  <si>
    <t>Platina con anilla inoxidable IMNASA, 45 mm</t>
  </si>
  <si>
    <t>ForNaval · Electricidad, electrónica e iluminación</t>
  </si>
  <si>
    <t>01 6 06001 00 00</t>
  </si>
  <si>
    <t>Desconectador de batería BEP EZ, 400 A, ON-OFF</t>
  </si>
  <si>
    <t>01 6 06005 00 00</t>
  </si>
  <si>
    <t>Luz de navegación bicolor LED IMNASA, 12 V e IP66</t>
  </si>
  <si>
    <t>01 6 06004 00 00</t>
  </si>
  <si>
    <t>Mini disyuntor EGIS 4701-20B de 20 A, montaje en panel</t>
  </si>
  <si>
    <t>01 6 06002 00 00</t>
  </si>
  <si>
    <t>Portafusibles EGIS 8025B, 6 circuitos con negativo común</t>
  </si>
  <si>
    <t>01 6 06003 00 00</t>
  </si>
  <si>
    <t>Toma USB IMNASA para instalación de 12/24 V</t>
  </si>
  <si>
    <t>ForNaval · Fondeo, amarre y cabullería</t>
  </si>
  <si>
    <t>ForNaval</t>
  </si>
  <si>
    <t>Agua a bordo, bombas y sanitarios</t>
  </si>
  <si>
    <t>01 6 08001 00 00</t>
  </si>
  <si>
    <t>Ancla Lewmar Delta galvanizada de 6 kg</t>
  </si>
  <si>
    <t>En stock · entrega estimada 24/48 h en Península · Etiqueta de stock indica en stock; descripción indica bajo pedido y disponibilidad del proveedor. Confirmar plazo con ForSailors.</t>
  </si>
  <si>
    <t>01 6 01009 00 NV</t>
  </si>
  <si>
    <t>Cabo de amarre LIROS Moorex Navy con gaza · Variante: Moorex; Navy; 10 mm × 6 m</t>
  </si>
  <si>
    <t>01 6 01010 00 NV</t>
  </si>
  <si>
    <t>Cabo de amarre LIROS Moorex Navy con gaza · Variante: Moorex; Navy; 12 mm × 15 m</t>
  </si>
  <si>
    <t>01 6 01011 00 NV</t>
  </si>
  <si>
    <t>Cabo de amarre LIROS Moorex Navy con gaza · Variante: Moorex; Navy; 14 mm × 10 m</t>
  </si>
  <si>
    <t>01 6 01012 00 NV</t>
  </si>
  <si>
    <t>Cabo de amarre LIROS Moorex Navy con gaza · Variante: Moorex; Navy; 16 mm × 15 m</t>
  </si>
  <si>
    <t>Cubierta, herrajes y maniobra</t>
  </si>
  <si>
    <t>01 6 01014 00 BK</t>
  </si>
  <si>
    <t>Cabo IMNASA para defensa con gaza, negro, 8 mm × 1,5 m</t>
  </si>
  <si>
    <t>01 6 01013 00 BK</t>
  </si>
  <si>
    <t>Cabo plano LIROS para defensa, negro, 8 mm × 1,5 m</t>
  </si>
  <si>
    <t>01 6 01007 00 WH</t>
  </si>
  <si>
    <t>Defensa esférica Polyform A-0 blanca, 230 × 290 mm</t>
  </si>
  <si>
    <t>01 6 01002 00 WH</t>
  </si>
  <si>
    <t>Defensas IMNASA serie G blancas G2 y G3 · Variante: G2; blanco; 114 × 406 mm</t>
  </si>
  <si>
    <t>01 6 01003 00 WH</t>
  </si>
  <si>
    <t>Defensas IMNASA serie G blancas G2 y G3 · Variante: G3; blanco; 140 × 508 mm</t>
  </si>
  <si>
    <t>01 6 01005 00 WH</t>
  </si>
  <si>
    <t>Defensas Polyform F blancas F-1 y F-2 · Variante: F-1; blanco; 150 × 640 mm</t>
  </si>
  <si>
    <t>01 6 01006 00 WH</t>
  </si>
  <si>
    <t>Defensas Polyform F blancas F-1 y F-2 · Variante: F-2; blanco; 220 × 640 mm</t>
  </si>
  <si>
    <t>01 6 01015 00 00</t>
  </si>
  <si>
    <t>Muelle de amarre galvanizado de 8 mm IMNASA</t>
  </si>
  <si>
    <t>ForNaval · Mantenimiento, reparación y varadero</t>
  </si>
  <si>
    <t>01 6 03005 00 00</t>
  </si>
  <si>
    <t>Lubricante Star brite para clips y cremalleras</t>
  </si>
  <si>
    <t>01 6 03007 00 WH</t>
  </si>
  <si>
    <t>Sellador marino Teroson MS930, blanco y negro · Variante: MS930; blanco; 310 ml</t>
  </si>
  <si>
    <t>Electricidad, electrónica e iluminación</t>
  </si>
  <si>
    <t>01 6 03008 00 BK</t>
  </si>
  <si>
    <t>Sellador marino Teroson MS930, blanco y negro · Variante: MS930; negro; 290 ml según descripción y catálogo; título 310 ml</t>
  </si>
  <si>
    <t>01 6 03001 00 00</t>
  </si>
  <si>
    <t>Star brite Boat Wash, jabón de cubierta 500 ml</t>
  </si>
  <si>
    <t>01 6 03002 00 00</t>
  </si>
  <si>
    <t>Star brite Instant Hull Cleaner, limpiador de casco 1 L</t>
  </si>
  <si>
    <t>01 6 03004 00 00</t>
  </si>
  <si>
    <t>Star brite Premium Cleaner Wax, 500 ml</t>
  </si>
  <si>
    <t>01 6 03003 00 00</t>
  </si>
  <si>
    <t>Star brite Premium Marine Polish PTFE, 500 ml</t>
  </si>
  <si>
    <t>Consultar disponibilidad</t>
  </si>
  <si>
    <t>Fondeo, amarre y cabullería</t>
  </si>
  <si>
    <t>ForNaval · Motor, combustible y propulsión</t>
  </si>
  <si>
    <t>01 6 05005 00 00</t>
  </si>
  <si>
    <t>Ánodo de zinc para Mercury 50 HP, equivalente OEM 31640</t>
  </si>
  <si>
    <t>Consultar disponibilidad · Etiqueta: consultar disponibilidad. Descripción: bajo pedido, sujeto a proveedor.</t>
  </si>
  <si>
    <t>01 6 05006 00 00</t>
  </si>
  <si>
    <t>Ánodo de zinc para Volvo Penta, equivalente OEM 3855411</t>
  </si>
  <si>
    <t>01 6 05004 00 00</t>
  </si>
  <si>
    <t>Ánodo de zinc para Yamaha 9,9 HP, equivalente 6E8-45251-00</t>
  </si>
  <si>
    <t>01 6 05002 00 00</t>
  </si>
  <si>
    <t>Cartucho de filtro de gasolina IMNASA tipo Racor S3227</t>
  </si>
  <si>
    <t>01 6 05003 00 00</t>
  </si>
  <si>
    <t>Filtro completo de gasolina IMNASA tipo Racor S3227</t>
  </si>
  <si>
    <t>01 6 05001 00 00</t>
  </si>
  <si>
    <t>Pera de cebado de gasolina IMNASA, 3/8 pulgada</t>
  </si>
  <si>
    <t>ForNaval · Seguridad y salvamento</t>
  </si>
  <si>
    <t>01 6 07003 MM 00</t>
  </si>
  <si>
    <t>Chaleco IMNASA Tenerife clase 100 N, talla M, 50–70 kg</t>
  </si>
  <si>
    <t>01 6 07001 00 NV</t>
  </si>
  <si>
    <t>Chaleco inflable IMNASA MATCH-4, clase 150 N, Navy</t>
  </si>
  <si>
    <t>01 6 07002 00 YW</t>
  </si>
  <si>
    <t>Herradura salvavidas IMNASA amarilla</t>
  </si>
  <si>
    <t>01 6 07004 00 00</t>
  </si>
  <si>
    <t>Luz flotante IMNASA para aro salvavidas con soporte y cabo</t>
  </si>
  <si>
    <t>01 4 07045 00 YW</t>
  </si>
  <si>
    <t>Boya de Regata de Entrenamiento Plastimo 1,88 m Amarilla</t>
  </si>
  <si>
    <t>Mantenimiento, reparación y varadero</t>
  </si>
  <si>
    <t>SUBTOTAL SIN IVA</t>
  </si>
  <si>
    <t>En stock · entrega estimada 24/48 h en Península</t>
  </si>
  <si>
    <t>UNIDADES OPTIMIST (paquete + solo casco)</t>
  </si>
  <si>
    <t>DESCUENTO OPTIMIST: 10% al superar 10 embarcaciones</t>
  </si>
  <si>
    <t>TOTAL SIN IVA</t>
  </si>
  <si>
    <t>Total de artículos sin IVA. Entrega al cliente e impuestos no incluidos; se confirmarán según destino.</t>
  </si>
  <si>
    <t>Disponibilidad y plazos sujetos a confirmación. Consultar las condiciones de cada producto en la pestaña Tarifas.</t>
  </si>
  <si>
    <t>Motor, combustible y propulsión</t>
  </si>
  <si>
    <t>Seguridad y salvamento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</si>
</sst>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#,##0.00&quot; €&quot;;[Red]-#,##0.00&quot; €&quot;;&quot;—&quot;"/>
    <numFmt numFmtId="166" formatCode="0.##"/>
  </numFmts>
  <fonts count="13">
    <font>
      <sz val="11.0"/>
      <color rgb="FF000000"/>
      <name val="Arial"/>
      <scheme val="minor"/>
    </font>
    <font>
      <sz val="10.0"/>
      <color rgb="FF222222"/>
      <name val="Arial"/>
    </font>
    <font>
      <b/>
      <sz val="16.0"/>
      <color rgb="FF222222"/>
      <name val="Arial"/>
    </font>
    <font>
      <b/>
      <sz val="18.0"/>
      <color rgb="FF222222"/>
      <name val="Arial"/>
    </font>
    <font>
      <b/>
      <sz val="10.0"/>
      <color rgb="FF222222"/>
      <name val="Arial"/>
    </font>
    <font>
      <b/>
      <sz val="9.0"/>
      <color rgb="FF222222"/>
      <name val="Arial"/>
    </font>
    <font/>
    <font>
      <b/>
      <sz val="10.0"/>
      <color rgb="FFFFFFFF"/>
      <name val="Arial"/>
    </font>
    <font>
      <sz val="10.0"/>
      <color rgb="FF666666"/>
      <name val="Arial"/>
    </font>
    <font>
      <sz val="9.0"/>
      <color rgb="FF222222"/>
      <name val="Arial"/>
    </font>
    <font>
      <u/>
      <sz val="10.0"/>
      <color rgb="FF222222"/>
      <name val="Arial"/>
    </font>
    <font>
      <u/>
      <sz val="10.0"/>
      <color rgb="FF222222"/>
      <name val="Arial"/>
    </font>
    <font>
      <b/>
      <sz val="12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3CF"/>
        <bgColor rgb="FFFFF3CF"/>
      </patternFill>
    </fill>
    <fill>
      <patternFill patternType="solid">
        <fgColor rgb="FF222222"/>
        <bgColor rgb="FF222222"/>
      </patternFill>
    </fill>
    <fill>
      <patternFill patternType="solid">
        <fgColor rgb="FFDADADA"/>
        <bgColor rgb="FFDADADA"/>
      </patternFill>
    </fill>
    <fill>
      <patternFill patternType="solid">
        <fgColor rgb="FFF0F0F0"/>
        <bgColor rgb="FFF0F0F0"/>
      </patternFill>
    </fill>
  </fills>
  <borders count="2">
    <border/>
    <border>
      <bottom style="thin">
        <color rgb="FFC6C6C6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 shrinkToFit="0" vertical="center" wrapText="1"/>
    </xf>
    <xf borderId="1" fillId="0" fontId="4" numFmtId="0" xfId="0" applyAlignment="1" applyBorder="1" applyFont="1">
      <alignment vertical="center"/>
    </xf>
    <xf borderId="1" fillId="2" fontId="1" numFmtId="0" xfId="0" applyAlignment="1" applyBorder="1" applyFill="1" applyFont="1">
      <alignment vertical="center"/>
    </xf>
    <xf borderId="1" fillId="0" fontId="5" numFmtId="0" xfId="0" applyAlignment="1" applyBorder="1" applyFont="1">
      <alignment vertical="center"/>
    </xf>
    <xf borderId="1" fillId="2" fontId="1" numFmtId="164" xfId="0" applyAlignment="1" applyBorder="1" applyFill="1" applyFont="1" applyNumberFormat="1">
      <alignment vertical="center"/>
    </xf>
    <xf borderId="1" fillId="0" fontId="6" numFmtId="0" xfId="0" applyBorder="1" applyFont="1"/>
    <xf borderId="0" fillId="3" fontId="7" numFmtId="0" xfId="0" applyAlignment="1" applyFill="1" applyFont="1">
      <alignment vertical="center"/>
    </xf>
    <xf borderId="0" fillId="2" fontId="1" numFmtId="9" xfId="0" applyAlignment="1" applyFill="1" applyFont="1" applyNumberFormat="1">
      <alignment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0" fillId="4" fontId="4" numFmtId="0" xfId="0" applyAlignment="1" applyFill="1" applyFont="1">
      <alignment horizontal="center" vertical="center"/>
    </xf>
    <xf borderId="0" fillId="0" fontId="9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2" fontId="1" numFmtId="1" xfId="0" applyAlignment="1" applyFill="1" applyFont="1" applyNumberFormat="1">
      <alignment horizontal="center" vertical="center"/>
    </xf>
    <xf borderId="0" fillId="2" fontId="1" numFmtId="0" xfId="0" applyAlignment="1" applyFill="1" applyFont="1">
      <alignment shrinkToFit="0" vertical="center" wrapText="1"/>
    </xf>
    <xf borderId="0" fillId="0" fontId="1" numFmtId="165" xfId="0" applyAlignment="1" applyFont="1" applyNumberFormat="1">
      <alignment horizontal="right" vertical="center"/>
    </xf>
    <xf borderId="0" fillId="3" fontId="7" numFmtId="0" xfId="0" applyAlignment="1" applyFill="1" applyFont="1">
      <alignment horizontal="center" shrinkToFit="0" vertical="center" wrapText="1"/>
    </xf>
    <xf borderId="0" fillId="0" fontId="1" numFmtId="165" xfId="0" applyAlignment="1" applyFont="1" applyNumberFormat="1">
      <alignment vertical="center"/>
    </xf>
    <xf borderId="0" fillId="0" fontId="1" numFmtId="164" xfId="0" applyAlignment="1" applyFont="1" applyNumberFormat="1">
      <alignment vertical="center"/>
    </xf>
    <xf borderId="0" fillId="5" fontId="1" numFmtId="0" xfId="0" applyAlignment="1" applyFill="1" applyFont="1">
      <alignment vertical="center"/>
    </xf>
    <xf borderId="0" fillId="5" fontId="1" numFmtId="0" xfId="0" applyAlignment="1" applyFill="1" applyFont="1">
      <alignment shrinkToFit="0" vertical="center" wrapText="1"/>
    </xf>
    <xf borderId="0" fillId="5" fontId="1" numFmtId="165" xfId="0" applyAlignment="1" applyFill="1" applyFont="1" applyNumberFormat="1">
      <alignment vertical="center"/>
    </xf>
    <xf borderId="0" fillId="5" fontId="1" numFmtId="164" xfId="0" applyAlignment="1" applyFill="1" applyFont="1" applyNumberFormat="1">
      <alignment vertical="center"/>
    </xf>
    <xf borderId="0" fillId="0" fontId="4" numFmtId="165" xfId="0" applyAlignment="1" applyFont="1" applyNumberFormat="1">
      <alignment horizontal="right" vertical="center"/>
    </xf>
    <xf borderId="0" fillId="5" fontId="9" numFmtId="0" xfId="0" applyAlignment="1" applyFill="1" applyFont="1">
      <alignment vertical="center"/>
    </xf>
    <xf borderId="0" fillId="5" fontId="1" numFmtId="165" xfId="0" applyAlignment="1" applyFill="1" applyFont="1" applyNumberFormat="1">
      <alignment horizontal="right" vertical="center"/>
    </xf>
    <xf borderId="0" fillId="5" fontId="4" numFmtId="165" xfId="0" applyAlignment="1" applyFill="1" applyFont="1" applyNumberFormat="1">
      <alignment horizontal="right" vertical="center"/>
    </xf>
    <xf borderId="0" fillId="0" fontId="10" numFmtId="0" xfId="0" applyAlignment="1" applyFont="1">
      <alignment shrinkToFit="0" vertical="center" wrapText="1"/>
    </xf>
    <xf borderId="0" fillId="5" fontId="11" numFmtId="0" xfId="0" applyAlignment="1" applyFill="1" applyFont="1">
      <alignment shrinkToFit="0" vertical="center" wrapText="1"/>
    </xf>
    <xf borderId="0" fillId="2" fontId="1" numFmtId="166" xfId="0" applyAlignment="1" applyFill="1" applyFont="1" applyNumberFormat="1">
      <alignment horizontal="center" vertical="center"/>
    </xf>
    <xf borderId="0" fillId="3" fontId="12" numFmtId="0" xfId="0" applyAlignment="1" applyFill="1" applyFont="1">
      <alignment vertical="center"/>
    </xf>
    <xf borderId="0" fillId="3" fontId="12" numFmtId="165" xfId="0" applyAlignment="1" applyFill="1" applyFont="1" applyNumberFormat="1">
      <alignment horizontal="right" vertical="center"/>
    </xf>
    <xf borderId="0" fillId="0" fontId="4" numFmtId="0" xfId="0" applyAlignment="1" applyFont="1">
      <alignment vertical="center"/>
    </xf>
    <xf borderId="0" fillId="0" fontId="4" numFmtId="1" xfId="0" applyAlignment="1" applyFont="1" applyNumberFormat="1">
      <alignment vertical="center"/>
    </xf>
    <xf borderId="0" fillId="0" fontId="4" numFmtId="165" xfId="0" applyAlignment="1" applyFont="1" applyNumberFormat="1">
      <alignment vertical="center"/>
    </xf>
  </cellXfs>
  <cellStyles count="1">
    <cellStyle xfId="0" name="Normal" builtinId="0"/>
  </cellStyles>
  <dxfs count="1">
    <dxf>
      <font>
        <b/>
        <color rgb="FF9B2C20"/>
      </font>
      <fill>
        <patternFill patternType="solid">
          <fgColor rgb="FFFCE4DE"/>
          <bgColor rgb="FFFCE4D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2333625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22222"/>
    <pageSetUpPr/>
  </sheetPr>
  <sheetViews>
    <sheetView showGridLines="0" workbookViewId="0"/>
  </sheetViews>
  <sheetFormatPr customHeight="1" defaultColWidth="12.63" defaultRowHeight="15.0"/>
  <cols>
    <col customWidth="1" min="1" max="1" width="1.88"/>
    <col customWidth="1" min="2" max="2" width="17.38"/>
    <col customWidth="1" min="3" max="3" width="46.0"/>
    <col customWidth="1" min="4" max="4" width="9.0"/>
    <col customWidth="1" min="5" max="6" width="13.88"/>
    <col customWidth="1" min="7" max="26" width="14.38"/>
  </cols>
  <sheetData>
    <row r="1" ht="9.75" customHeight="1">
      <c r="A1" s="1"/>
      <c r="B1" s="1"/>
      <c r="C1" s="1"/>
      <c r="D1" s="1"/>
      <c r="E1" s="1"/>
      <c r="F1" s="1"/>
    </row>
    <row r="2" ht="36.0" customHeight="1">
      <c r="A2" s="1"/>
      <c r="B2" s="1"/>
      <c r="D2" s="3" t="s">
        <v>2</v>
      </c>
    </row>
    <row r="3" ht="36.0" customHeight="1">
      <c r="A3" s="1"/>
    </row>
    <row r="4" ht="36.0" customHeight="1">
      <c r="A4" s="1"/>
    </row>
    <row r="5" ht="22.5" customHeight="1">
      <c r="A5" s="1"/>
      <c r="B5" s="4" t="s">
        <v>3</v>
      </c>
      <c r="C5" s="5"/>
      <c r="D5" s="6" t="s">
        <v>4</v>
      </c>
      <c r="E5" s="7"/>
      <c r="F5" s="8"/>
    </row>
    <row r="6" ht="22.5" customHeight="1">
      <c r="A6" s="1"/>
      <c r="B6" s="1"/>
      <c r="C6" s="1"/>
      <c r="D6" s="1"/>
      <c r="E6" s="1"/>
      <c r="F6" s="1"/>
    </row>
    <row r="7" ht="24.0" customHeight="1">
      <c r="A7" s="1"/>
      <c r="B7" s="9" t="s">
        <v>5</v>
      </c>
    </row>
    <row r="8" ht="22.5" customHeight="1">
      <c r="A8" s="1"/>
      <c r="B8" s="4" t="s">
        <v>6</v>
      </c>
      <c r="C8" s="5"/>
      <c r="D8" s="6" t="s">
        <v>7</v>
      </c>
      <c r="E8" s="5"/>
      <c r="F8" s="8"/>
    </row>
    <row r="9" ht="22.5" customHeight="1">
      <c r="A9" s="1"/>
      <c r="B9" s="4" t="s">
        <v>8</v>
      </c>
      <c r="C9" s="5"/>
      <c r="D9" s="6" t="s">
        <v>9</v>
      </c>
      <c r="E9" s="5"/>
      <c r="F9" s="8"/>
    </row>
    <row r="10" ht="22.5" customHeight="1">
      <c r="A10" s="1"/>
      <c r="B10" s="4" t="s">
        <v>10</v>
      </c>
      <c r="C10" s="5"/>
      <c r="D10" s="8"/>
      <c r="E10" s="8"/>
      <c r="F10" s="8"/>
    </row>
    <row r="11" ht="22.5" customHeight="1">
      <c r="A11" s="1"/>
      <c r="B11" s="4" t="s">
        <v>11</v>
      </c>
      <c r="C11" s="5"/>
      <c r="D11" s="8"/>
      <c r="E11" s="8"/>
      <c r="F11" s="8"/>
    </row>
    <row r="12" ht="22.5" customHeight="1">
      <c r="A12" s="1"/>
      <c r="B12" s="4" t="s">
        <v>12</v>
      </c>
      <c r="C12" s="5"/>
      <c r="D12" s="6" t="s">
        <v>13</v>
      </c>
      <c r="E12" s="5"/>
      <c r="F12" s="8"/>
    </row>
    <row r="13" ht="22.5" customHeight="1">
      <c r="A13" s="1"/>
      <c r="B13" s="4" t="s">
        <v>14</v>
      </c>
      <c r="C13" s="5"/>
      <c r="D13" s="6" t="s">
        <v>15</v>
      </c>
      <c r="E13" s="5"/>
      <c r="F13" s="8"/>
    </row>
    <row r="14" ht="22.5" customHeight="1">
      <c r="A14" s="1"/>
      <c r="B14" s="1"/>
      <c r="C14" s="1"/>
      <c r="D14" s="1"/>
      <c r="E14" s="1"/>
      <c r="F14" s="1"/>
    </row>
    <row r="15" ht="24.0" customHeight="1">
      <c r="A15" s="1"/>
      <c r="B15" s="9" t="s">
        <v>16</v>
      </c>
    </row>
    <row r="16" ht="22.5" customHeight="1">
      <c r="A16" s="1"/>
      <c r="B16" s="4" t="s">
        <v>17</v>
      </c>
      <c r="C16" s="5"/>
      <c r="D16" s="6" t="s">
        <v>9</v>
      </c>
      <c r="E16" s="5"/>
      <c r="F16" s="8"/>
    </row>
    <row r="17" ht="22.5" customHeight="1">
      <c r="A17" s="1"/>
      <c r="B17" s="4" t="s">
        <v>18</v>
      </c>
      <c r="C17" s="5"/>
      <c r="D17" s="8"/>
      <c r="E17" s="8"/>
      <c r="F17" s="8"/>
    </row>
    <row r="18" ht="22.5" customHeight="1">
      <c r="A18" s="1"/>
      <c r="B18" s="4" t="s">
        <v>12</v>
      </c>
      <c r="C18" s="5"/>
      <c r="D18" s="6" t="s">
        <v>13</v>
      </c>
      <c r="E18" s="5"/>
      <c r="F18" s="8"/>
    </row>
    <row r="19" ht="22.5" customHeight="1">
      <c r="A19" s="1"/>
      <c r="B19" s="4" t="s">
        <v>19</v>
      </c>
      <c r="C19" s="5"/>
      <c r="D19" s="6" t="s">
        <v>20</v>
      </c>
      <c r="E19" s="5"/>
      <c r="F19" s="8"/>
    </row>
    <row r="20" ht="33.75" customHeight="1">
      <c r="A20" s="1"/>
      <c r="B20" s="4" t="s">
        <v>21</v>
      </c>
      <c r="C20" s="5"/>
      <c r="D20" s="8"/>
      <c r="E20" s="8"/>
      <c r="F20" s="8"/>
    </row>
    <row r="21" ht="22.5" customHeight="1">
      <c r="A21" s="1"/>
      <c r="B21" s="1"/>
      <c r="C21" s="1"/>
      <c r="D21" s="1"/>
      <c r="E21" s="1"/>
      <c r="F21" s="1"/>
    </row>
    <row r="22" ht="30.0" customHeight="1">
      <c r="A22" s="1"/>
      <c r="B22" s="12" t="str">
        <f>IF(OR(Tarifas!$B$7="Pendiente",AND(Tarifas!$B$7="Sí",NOT(ISNUMBER(Tarifas!$B$3)))),"Importes en EUR. Precios netos de ForSchool y ForNaval pendientes de confirmar IVA; ver Tarifas. Barcos: precios netos aprobados.","Importes en EUR, sin IVA. Introduce las cantidades deseadas. Entrega al cliente no incluida.")</f>
        <v>Importes en EUR, sin IVA. Introduce las cantidades deseadas. Entrega al cliente no incluida.</v>
      </c>
    </row>
    <row r="23" ht="22.5" customHeight="1">
      <c r="A23" s="1"/>
      <c r="B23" s="11" t="s">
        <v>24</v>
      </c>
    </row>
    <row r="24" ht="22.5" customHeight="1">
      <c r="A24" s="1"/>
      <c r="B24" s="11" t="s">
        <v>25</v>
      </c>
    </row>
    <row r="25" ht="24.0" customHeight="1">
      <c r="A25" s="1"/>
      <c r="B25" s="9" t="s">
        <v>26</v>
      </c>
    </row>
    <row r="26" ht="24.75" customHeight="1">
      <c r="A26" s="1"/>
      <c r="B26" s="13" t="s">
        <v>27</v>
      </c>
      <c r="C26" s="13" t="s">
        <v>28</v>
      </c>
      <c r="D26" s="13" t="s">
        <v>29</v>
      </c>
      <c r="E26" s="13" t="s">
        <v>30</v>
      </c>
      <c r="F26" s="13" t="s">
        <v>31</v>
      </c>
    </row>
    <row r="27" ht="27.0" customHeight="1">
      <c r="A27" s="1"/>
      <c r="B27" s="14" t="s">
        <v>32</v>
      </c>
      <c r="C27" s="15" t="s">
        <v>33</v>
      </c>
      <c r="D27" s="16"/>
      <c r="E27" s="18">
        <f>IF(Tarifas!G9="","",Tarifas!G9)</f>
        <v>7900</v>
      </c>
      <c r="F27" s="26" t="str">
        <f t="shared" ref="F27:F30" si="1">IF(OR(D27="",D27=0),"",IF(E27="","PENDIENTE",ROUND(D27*E27,2)))</f>
        <v/>
      </c>
    </row>
    <row r="28" ht="27.0" customHeight="1">
      <c r="A28" s="1"/>
      <c r="B28" s="27" t="s">
        <v>32</v>
      </c>
      <c r="C28" s="23" t="s">
        <v>51</v>
      </c>
      <c r="D28" s="16"/>
      <c r="E28" s="28">
        <f>IF(Tarifas!G10="","",Tarifas!G10)</f>
        <v>1100</v>
      </c>
      <c r="F28" s="29" t="str">
        <f t="shared" si="1"/>
        <v/>
      </c>
    </row>
    <row r="29" ht="27.0" customHeight="1">
      <c r="A29" s="1"/>
      <c r="B29" s="14" t="s">
        <v>32</v>
      </c>
      <c r="C29" s="15" t="s">
        <v>52</v>
      </c>
      <c r="D29" s="16"/>
      <c r="E29" s="18">
        <f>IF(Tarifas!G11="","",Tarifas!G11)</f>
        <v>500</v>
      </c>
      <c r="F29" s="26" t="str">
        <f t="shared" si="1"/>
        <v/>
      </c>
    </row>
    <row r="30" ht="27.0" customHeight="1">
      <c r="A30" s="1"/>
      <c r="B30" s="27" t="s">
        <v>32</v>
      </c>
      <c r="C30" s="23" t="s">
        <v>53</v>
      </c>
      <c r="D30" s="16"/>
      <c r="E30" s="28">
        <f>IF(Tarifas!G12="","",Tarifas!G12)</f>
        <v>400</v>
      </c>
      <c r="F30" s="29" t="str">
        <f t="shared" si="1"/>
        <v/>
      </c>
    </row>
    <row r="31" ht="22.5" customHeight="1">
      <c r="A31" s="1"/>
      <c r="B31" s="1"/>
      <c r="C31" s="1"/>
      <c r="D31" s="1"/>
      <c r="E31" s="1"/>
      <c r="F31" s="1"/>
    </row>
    <row r="32" ht="24.0" customHeight="1">
      <c r="A32" s="1"/>
      <c r="B32" s="9" t="s">
        <v>66</v>
      </c>
    </row>
    <row r="33" ht="24.75" customHeight="1">
      <c r="A33" s="1"/>
      <c r="B33" s="13" t="s">
        <v>27</v>
      </c>
      <c r="C33" s="13" t="s">
        <v>28</v>
      </c>
      <c r="D33" s="13" t="s">
        <v>29</v>
      </c>
      <c r="E33" s="13" t="s">
        <v>30</v>
      </c>
      <c r="F33" s="13" t="s">
        <v>31</v>
      </c>
    </row>
    <row r="34" ht="63.75" customHeight="1">
      <c r="A34" s="1"/>
      <c r="B34" s="14" t="s">
        <v>32</v>
      </c>
      <c r="C34" s="15" t="s">
        <v>54</v>
      </c>
      <c r="D34" s="16"/>
      <c r="E34" s="18">
        <f>IF(Tarifas!G13="","",Tarifas!G13)</f>
        <v>2019.72</v>
      </c>
      <c r="F34" s="26" t="str">
        <f t="shared" ref="F34:F35" si="2">IF(OR(D34="",D34=0),"",IF(E34="","PENDIENTE",ROUND(D34*E34,2)))</f>
        <v/>
      </c>
    </row>
    <row r="35" ht="63.75" customHeight="1">
      <c r="A35" s="1"/>
      <c r="B35" s="27" t="s">
        <v>32</v>
      </c>
      <c r="C35" s="23" t="s">
        <v>59</v>
      </c>
      <c r="D35" s="16"/>
      <c r="E35" s="28">
        <f>IF(Tarifas!G14="","",Tarifas!G14)</f>
        <v>1300.78</v>
      </c>
      <c r="F35" s="29" t="str">
        <f t="shared" si="2"/>
        <v/>
      </c>
    </row>
    <row r="36" ht="22.5" customHeight="1">
      <c r="A36" s="1"/>
      <c r="B36" s="1"/>
      <c r="C36" s="1"/>
      <c r="D36" s="1"/>
      <c r="E36" s="1"/>
      <c r="F36" s="1"/>
    </row>
    <row r="37" ht="24.0" customHeight="1">
      <c r="A37" s="1"/>
      <c r="B37" s="9" t="s">
        <v>72</v>
      </c>
    </row>
    <row r="38" ht="24.75" customHeight="1">
      <c r="A38" s="1"/>
      <c r="B38" s="13" t="s">
        <v>27</v>
      </c>
      <c r="C38" s="13" t="s">
        <v>28</v>
      </c>
      <c r="D38" s="13" t="s">
        <v>29</v>
      </c>
      <c r="E38" s="13" t="s">
        <v>30</v>
      </c>
      <c r="F38" s="13" t="s">
        <v>31</v>
      </c>
    </row>
    <row r="39" ht="27.0" customHeight="1">
      <c r="A39" s="1"/>
      <c r="B39" s="14" t="s">
        <v>62</v>
      </c>
      <c r="C39" s="15" t="s">
        <v>63</v>
      </c>
      <c r="D39" s="32"/>
      <c r="E39" s="18">
        <f>IF(Tarifas!G15="","",Tarifas!G15)</f>
        <v>321.49</v>
      </c>
      <c r="F39" s="26" t="str">
        <f t="shared" ref="F39:F46" si="3">IF(OR(D39="",D39=0),"",IF(E39="","PENDIENTE",ROUND(D39*E39,2)))</f>
        <v/>
      </c>
    </row>
    <row r="40" ht="36.0" customHeight="1">
      <c r="A40" s="1"/>
      <c r="B40" s="27" t="s">
        <v>68</v>
      </c>
      <c r="C40" s="23" t="s">
        <v>69</v>
      </c>
      <c r="D40" s="32"/>
      <c r="E40" s="28">
        <f>IF(Tarifas!G16="","",Tarifas!G16)</f>
        <v>350.24</v>
      </c>
      <c r="F40" s="29" t="str">
        <f t="shared" si="3"/>
        <v/>
      </c>
    </row>
    <row r="41" ht="27.0" customHeight="1">
      <c r="A41" s="1"/>
      <c r="B41" s="14" t="s">
        <v>70</v>
      </c>
      <c r="C41" s="15" t="s">
        <v>71</v>
      </c>
      <c r="D41" s="32"/>
      <c r="E41" s="18">
        <f>IF(Tarifas!G17="","",Tarifas!G17)</f>
        <v>250.57</v>
      </c>
      <c r="F41" s="26" t="str">
        <f t="shared" si="3"/>
        <v/>
      </c>
    </row>
    <row r="42" ht="27.0" customHeight="1">
      <c r="A42" s="1"/>
      <c r="B42" s="27" t="s">
        <v>74</v>
      </c>
      <c r="C42" s="23" t="s">
        <v>75</v>
      </c>
      <c r="D42" s="32"/>
      <c r="E42" s="28">
        <f>IF(Tarifas!G18="","",Tarifas!G18)</f>
        <v>201.36</v>
      </c>
      <c r="F42" s="29" t="str">
        <f t="shared" si="3"/>
        <v/>
      </c>
    </row>
    <row r="43" ht="27.0" customHeight="1">
      <c r="A43" s="1"/>
      <c r="B43" s="14" t="s">
        <v>76</v>
      </c>
      <c r="C43" s="15" t="s">
        <v>77</v>
      </c>
      <c r="D43" s="32"/>
      <c r="E43" s="18">
        <f>IF(Tarifas!G19="","",Tarifas!G19)</f>
        <v>326.45</v>
      </c>
      <c r="F43" s="26" t="str">
        <f t="shared" si="3"/>
        <v/>
      </c>
    </row>
    <row r="44" ht="27.0" customHeight="1">
      <c r="A44" s="1"/>
      <c r="B44" s="27" t="s">
        <v>78</v>
      </c>
      <c r="C44" s="23" t="s">
        <v>79</v>
      </c>
      <c r="D44" s="32"/>
      <c r="E44" s="28">
        <f>IF(Tarifas!G20="","",Tarifas!G20)</f>
        <v>207.39</v>
      </c>
      <c r="F44" s="29" t="str">
        <f t="shared" si="3"/>
        <v/>
      </c>
    </row>
    <row r="45" ht="27.0" customHeight="1">
      <c r="A45" s="1"/>
      <c r="B45" s="14" t="s">
        <v>80</v>
      </c>
      <c r="C45" s="15" t="s">
        <v>81</v>
      </c>
      <c r="D45" s="32"/>
      <c r="E45" s="18">
        <f>IF(Tarifas!G21="","",Tarifas!G21)</f>
        <v>3.31</v>
      </c>
      <c r="F45" s="26" t="str">
        <f t="shared" si="3"/>
        <v/>
      </c>
    </row>
    <row r="46" ht="27.0" customHeight="1">
      <c r="A46" s="1"/>
      <c r="B46" s="27" t="s">
        <v>83</v>
      </c>
      <c r="C46" s="23" t="s">
        <v>84</v>
      </c>
      <c r="D46" s="32"/>
      <c r="E46" s="28">
        <f>IF(Tarifas!G22="","",Tarifas!G22)</f>
        <v>24.34</v>
      </c>
      <c r="F46" s="29" t="str">
        <f t="shared" si="3"/>
        <v/>
      </c>
    </row>
    <row r="47" ht="22.5" customHeight="1">
      <c r="A47" s="1"/>
      <c r="B47" s="1"/>
      <c r="C47" s="1"/>
      <c r="D47" s="1"/>
      <c r="E47" s="1"/>
      <c r="F47" s="1"/>
    </row>
    <row r="48" ht="24.0" customHeight="1">
      <c r="A48" s="1"/>
      <c r="B48" s="9" t="s">
        <v>92</v>
      </c>
    </row>
    <row r="49" ht="24.75" customHeight="1">
      <c r="A49" s="1"/>
      <c r="B49" s="13" t="s">
        <v>27</v>
      </c>
      <c r="C49" s="13" t="s">
        <v>28</v>
      </c>
      <c r="D49" s="13" t="s">
        <v>29</v>
      </c>
      <c r="E49" s="13" t="s">
        <v>30</v>
      </c>
      <c r="F49" s="13" t="s">
        <v>31</v>
      </c>
    </row>
    <row r="50" ht="27.0" customHeight="1">
      <c r="A50" s="1"/>
      <c r="B50" s="14" t="s">
        <v>85</v>
      </c>
      <c r="C50" s="15" t="s">
        <v>86</v>
      </c>
      <c r="D50" s="32"/>
      <c r="E50" s="18">
        <f>IF(Tarifas!G23="","",Tarifas!G23)</f>
        <v>66.03</v>
      </c>
      <c r="F50" s="26" t="str">
        <f t="shared" ref="F50:F67" si="4">IF(OR(D50="",D50=0),"",IF(E50="","PENDIENTE",ROUND(D50*E50,2)))</f>
        <v/>
      </c>
    </row>
    <row r="51" ht="36.0" customHeight="1">
      <c r="A51" s="1"/>
      <c r="B51" s="27" t="s">
        <v>88</v>
      </c>
      <c r="C51" s="23" t="s">
        <v>89</v>
      </c>
      <c r="D51" s="32"/>
      <c r="E51" s="28">
        <f>IF(Tarifas!G24="","",Tarifas!G24)</f>
        <v>43.79</v>
      </c>
      <c r="F51" s="29" t="str">
        <f t="shared" si="4"/>
        <v/>
      </c>
    </row>
    <row r="52" ht="27.0" customHeight="1">
      <c r="A52" s="1"/>
      <c r="B52" s="14" t="s">
        <v>90</v>
      </c>
      <c r="C52" s="15" t="s">
        <v>91</v>
      </c>
      <c r="D52" s="32"/>
      <c r="E52" s="18">
        <f>IF(Tarifas!G25="","",Tarifas!G25)</f>
        <v>152.89</v>
      </c>
      <c r="F52" s="26" t="str">
        <f t="shared" si="4"/>
        <v/>
      </c>
    </row>
    <row r="53" ht="27.0" customHeight="1">
      <c r="A53" s="1"/>
      <c r="B53" s="27" t="s">
        <v>93</v>
      </c>
      <c r="C53" s="23" t="s">
        <v>94</v>
      </c>
      <c r="D53" s="32"/>
      <c r="E53" s="28">
        <f>IF(Tarifas!G26="","",Tarifas!G26)</f>
        <v>152.89</v>
      </c>
      <c r="F53" s="29" t="str">
        <f t="shared" si="4"/>
        <v/>
      </c>
    </row>
    <row r="54" ht="27.0" customHeight="1">
      <c r="A54" s="1"/>
      <c r="B54" s="14" t="s">
        <v>95</v>
      </c>
      <c r="C54" s="15" t="s">
        <v>96</v>
      </c>
      <c r="D54" s="32"/>
      <c r="E54" s="18">
        <f>IF(Tarifas!G27="","",Tarifas!G27)</f>
        <v>109.46</v>
      </c>
      <c r="F54" s="26" t="str">
        <f t="shared" si="4"/>
        <v/>
      </c>
    </row>
    <row r="55" ht="27.0" customHeight="1">
      <c r="A55" s="1"/>
      <c r="B55" s="27" t="s">
        <v>98</v>
      </c>
      <c r="C55" s="23" t="s">
        <v>99</v>
      </c>
      <c r="D55" s="32"/>
      <c r="E55" s="28">
        <f>IF(Tarifas!G28="","",Tarifas!G28)</f>
        <v>223.06</v>
      </c>
      <c r="F55" s="29" t="str">
        <f t="shared" si="4"/>
        <v/>
      </c>
    </row>
    <row r="56" ht="27.0" customHeight="1">
      <c r="A56" s="1"/>
      <c r="B56" s="14" t="s">
        <v>100</v>
      </c>
      <c r="C56" s="15" t="s">
        <v>101</v>
      </c>
      <c r="D56" s="32"/>
      <c r="E56" s="18">
        <f>IF(Tarifas!G29="","",Tarifas!G29)</f>
        <v>135.91</v>
      </c>
      <c r="F56" s="26" t="str">
        <f t="shared" si="4"/>
        <v/>
      </c>
    </row>
    <row r="57" ht="36.0" customHeight="1">
      <c r="A57" s="1"/>
      <c r="B57" s="27" t="s">
        <v>102</v>
      </c>
      <c r="C57" s="23" t="s">
        <v>103</v>
      </c>
      <c r="D57" s="32"/>
      <c r="E57" s="28">
        <f>IF(Tarifas!G30="","",Tarifas!G30)</f>
        <v>152.89</v>
      </c>
      <c r="F57" s="29" t="str">
        <f t="shared" si="4"/>
        <v/>
      </c>
    </row>
    <row r="58" ht="36.0" customHeight="1">
      <c r="A58" s="1"/>
      <c r="B58" s="14" t="s">
        <v>104</v>
      </c>
      <c r="C58" s="15" t="s">
        <v>105</v>
      </c>
      <c r="D58" s="32"/>
      <c r="E58" s="18">
        <f>IF(Tarifas!G31="","",Tarifas!G31)</f>
        <v>152.89</v>
      </c>
      <c r="F58" s="26" t="str">
        <f t="shared" si="4"/>
        <v/>
      </c>
    </row>
    <row r="59" ht="36.0" customHeight="1">
      <c r="A59" s="1"/>
      <c r="B59" s="27" t="s">
        <v>106</v>
      </c>
      <c r="C59" s="23" t="s">
        <v>107</v>
      </c>
      <c r="D59" s="32"/>
      <c r="E59" s="28">
        <f>IF(Tarifas!G32="","",Tarifas!G32)</f>
        <v>136.3</v>
      </c>
      <c r="F59" s="29" t="str">
        <f t="shared" si="4"/>
        <v/>
      </c>
    </row>
    <row r="60" ht="27.0" customHeight="1">
      <c r="A60" s="1"/>
      <c r="B60" s="14" t="s">
        <v>108</v>
      </c>
      <c r="C60" s="15" t="s">
        <v>109</v>
      </c>
      <c r="D60" s="32"/>
      <c r="E60" s="18">
        <f>IF(Tarifas!G33="","",Tarifas!G33)</f>
        <v>82.19</v>
      </c>
      <c r="F60" s="26" t="str">
        <f t="shared" si="4"/>
        <v/>
      </c>
    </row>
    <row r="61" ht="27.0" customHeight="1">
      <c r="A61" s="1"/>
      <c r="B61" s="27" t="s">
        <v>110</v>
      </c>
      <c r="C61" s="23" t="s">
        <v>111</v>
      </c>
      <c r="D61" s="32"/>
      <c r="E61" s="28">
        <f>IF(Tarifas!G34="","",Tarifas!G34)</f>
        <v>118.97</v>
      </c>
      <c r="F61" s="29" t="str">
        <f t="shared" si="4"/>
        <v/>
      </c>
    </row>
    <row r="62" ht="27.0" customHeight="1">
      <c r="A62" s="1"/>
      <c r="B62" s="14" t="s">
        <v>112</v>
      </c>
      <c r="C62" s="15" t="s">
        <v>113</v>
      </c>
      <c r="D62" s="32"/>
      <c r="E62" s="18">
        <f>IF(Tarifas!G35="","",Tarifas!G35)</f>
        <v>223.14</v>
      </c>
      <c r="F62" s="26" t="str">
        <f t="shared" si="4"/>
        <v/>
      </c>
    </row>
    <row r="63" ht="27.0" customHeight="1">
      <c r="A63" s="1"/>
      <c r="B63" s="27" t="s">
        <v>114</v>
      </c>
      <c r="C63" s="23" t="s">
        <v>115</v>
      </c>
      <c r="D63" s="32"/>
      <c r="E63" s="28">
        <f>IF(Tarifas!G36="","",Tarifas!G36)</f>
        <v>123.97</v>
      </c>
      <c r="F63" s="29" t="str">
        <f t="shared" si="4"/>
        <v/>
      </c>
    </row>
    <row r="64" ht="27.0" customHeight="1">
      <c r="A64" s="1"/>
      <c r="B64" s="14" t="s">
        <v>116</v>
      </c>
      <c r="C64" s="15" t="s">
        <v>117</v>
      </c>
      <c r="D64" s="32"/>
      <c r="E64" s="18">
        <f>IF(Tarifas!G37="","",Tarifas!G37)</f>
        <v>53.68</v>
      </c>
      <c r="F64" s="26" t="str">
        <f t="shared" si="4"/>
        <v/>
      </c>
    </row>
    <row r="65" ht="27.0" customHeight="1">
      <c r="A65" s="1"/>
      <c r="B65" s="27" t="s">
        <v>118</v>
      </c>
      <c r="C65" s="23" t="s">
        <v>119</v>
      </c>
      <c r="D65" s="32"/>
      <c r="E65" s="28">
        <f>IF(Tarifas!G38="","",Tarifas!G38)</f>
        <v>73.93</v>
      </c>
      <c r="F65" s="29" t="str">
        <f t="shared" si="4"/>
        <v/>
      </c>
    </row>
    <row r="66" ht="27.0" customHeight="1">
      <c r="A66" s="1"/>
      <c r="B66" s="14" t="s">
        <v>120</v>
      </c>
      <c r="C66" s="15" t="s">
        <v>121</v>
      </c>
      <c r="D66" s="32"/>
      <c r="E66" s="18">
        <f>IF(Tarifas!G39="","",Tarifas!G39)</f>
        <v>57.19</v>
      </c>
      <c r="F66" s="26" t="str">
        <f t="shared" si="4"/>
        <v/>
      </c>
    </row>
    <row r="67" ht="27.0" customHeight="1">
      <c r="A67" s="1"/>
      <c r="B67" s="27" t="s">
        <v>122</v>
      </c>
      <c r="C67" s="23" t="s">
        <v>123</v>
      </c>
      <c r="D67" s="32"/>
      <c r="E67" s="28">
        <f>IF(Tarifas!G40="","",Tarifas!G40)</f>
        <v>20.74</v>
      </c>
      <c r="F67" s="29" t="str">
        <f t="shared" si="4"/>
        <v/>
      </c>
    </row>
    <row r="68" ht="22.5" customHeight="1">
      <c r="A68" s="1"/>
      <c r="B68" s="1"/>
      <c r="C68" s="1"/>
      <c r="D68" s="1"/>
      <c r="E68" s="1"/>
      <c r="F68" s="1"/>
    </row>
    <row r="69" ht="24.0" customHeight="1">
      <c r="A69" s="1"/>
      <c r="B69" s="9" t="s">
        <v>124</v>
      </c>
    </row>
    <row r="70" ht="24.75" customHeight="1">
      <c r="A70" s="1"/>
      <c r="B70" s="13" t="s">
        <v>27</v>
      </c>
      <c r="C70" s="13" t="s">
        <v>28</v>
      </c>
      <c r="D70" s="13" t="s">
        <v>29</v>
      </c>
      <c r="E70" s="13" t="s">
        <v>30</v>
      </c>
      <c r="F70" s="13" t="s">
        <v>31</v>
      </c>
    </row>
    <row r="71" ht="27.0" customHeight="1">
      <c r="A71" s="1"/>
      <c r="B71" s="14" t="s">
        <v>125</v>
      </c>
      <c r="C71" s="15" t="s">
        <v>126</v>
      </c>
      <c r="D71" s="32"/>
      <c r="E71" s="18">
        <f>IF(Tarifas!G41="","",Tarifas!G41)</f>
        <v>15.27</v>
      </c>
      <c r="F71" s="26" t="str">
        <f t="shared" ref="F71:F118" si="5">IF(OR(D71="",D71=0),"",IF(E71="","PENDIENTE",ROUND(D71*E71,2)))</f>
        <v/>
      </c>
    </row>
    <row r="72" ht="27.0" customHeight="1">
      <c r="A72" s="1"/>
      <c r="B72" s="27" t="s">
        <v>128</v>
      </c>
      <c r="C72" s="23" t="s">
        <v>129</v>
      </c>
      <c r="D72" s="32"/>
      <c r="E72" s="28">
        <f>IF(Tarifas!G42="","",Tarifas!G42)</f>
        <v>9.5</v>
      </c>
      <c r="F72" s="29" t="str">
        <f t="shared" si="5"/>
        <v/>
      </c>
    </row>
    <row r="73" ht="27.0" customHeight="1">
      <c r="A73" s="1"/>
      <c r="B73" s="14" t="s">
        <v>130</v>
      </c>
      <c r="C73" s="15" t="s">
        <v>131</v>
      </c>
      <c r="D73" s="32"/>
      <c r="E73" s="18">
        <f>IF(Tarifas!G43="","",Tarifas!G43)</f>
        <v>8.64</v>
      </c>
      <c r="F73" s="26" t="str">
        <f t="shared" si="5"/>
        <v/>
      </c>
    </row>
    <row r="74" ht="27.0" customHeight="1">
      <c r="A74" s="1"/>
      <c r="B74" s="27" t="s">
        <v>132</v>
      </c>
      <c r="C74" s="23" t="s">
        <v>133</v>
      </c>
      <c r="D74" s="32"/>
      <c r="E74" s="28">
        <f>IF(Tarifas!G44="","",Tarifas!G44)</f>
        <v>0.97</v>
      </c>
      <c r="F74" s="29" t="str">
        <f t="shared" si="5"/>
        <v/>
      </c>
    </row>
    <row r="75" ht="27.0" customHeight="1">
      <c r="A75" s="1"/>
      <c r="B75" s="14" t="s">
        <v>134</v>
      </c>
      <c r="C75" s="15" t="s">
        <v>135</v>
      </c>
      <c r="D75" s="32"/>
      <c r="E75" s="18">
        <f>IF(Tarifas!G45="","",Tarifas!G45)</f>
        <v>0.97</v>
      </c>
      <c r="F75" s="26" t="str">
        <f t="shared" si="5"/>
        <v/>
      </c>
    </row>
    <row r="76" ht="27.0" customHeight="1">
      <c r="A76" s="1"/>
      <c r="B76" s="27" t="s">
        <v>136</v>
      </c>
      <c r="C76" s="23" t="s">
        <v>137</v>
      </c>
      <c r="D76" s="32"/>
      <c r="E76" s="28">
        <f>IF(Tarifas!G46="","",Tarifas!G46)</f>
        <v>52.45</v>
      </c>
      <c r="F76" s="29" t="str">
        <f t="shared" si="5"/>
        <v/>
      </c>
    </row>
    <row r="77" ht="27.0" customHeight="1">
      <c r="A77" s="1"/>
      <c r="B77" s="14" t="s">
        <v>138</v>
      </c>
      <c r="C77" s="15" t="s">
        <v>139</v>
      </c>
      <c r="D77" s="32"/>
      <c r="E77" s="18">
        <f>IF(Tarifas!G47="","",Tarifas!G47)</f>
        <v>29.71</v>
      </c>
      <c r="F77" s="26" t="str">
        <f t="shared" si="5"/>
        <v/>
      </c>
    </row>
    <row r="78" ht="27.0" customHeight="1">
      <c r="A78" s="1"/>
      <c r="B78" s="27" t="s">
        <v>140</v>
      </c>
      <c r="C78" s="23" t="s">
        <v>141</v>
      </c>
      <c r="D78" s="32"/>
      <c r="E78" s="28">
        <f>IF(Tarifas!G48="","",Tarifas!G48)</f>
        <v>17.26</v>
      </c>
      <c r="F78" s="29" t="str">
        <f t="shared" si="5"/>
        <v/>
      </c>
    </row>
    <row r="79" ht="36.0" customHeight="1">
      <c r="A79" s="1"/>
      <c r="B79" s="14" t="s">
        <v>142</v>
      </c>
      <c r="C79" s="15" t="s">
        <v>143</v>
      </c>
      <c r="D79" s="32"/>
      <c r="E79" s="18">
        <f>IF(Tarifas!G49="","",Tarifas!G49)</f>
        <v>9.29</v>
      </c>
      <c r="F79" s="26" t="str">
        <f t="shared" si="5"/>
        <v/>
      </c>
    </row>
    <row r="80" ht="36.0" customHeight="1">
      <c r="A80" s="1"/>
      <c r="B80" s="27" t="s">
        <v>144</v>
      </c>
      <c r="C80" s="23" t="s">
        <v>145</v>
      </c>
      <c r="D80" s="32"/>
      <c r="E80" s="28">
        <f>IF(Tarifas!G50="","",Tarifas!G50)</f>
        <v>9.29</v>
      </c>
      <c r="F80" s="29" t="str">
        <f t="shared" si="5"/>
        <v/>
      </c>
    </row>
    <row r="81" ht="36.0" customHeight="1">
      <c r="A81" s="1"/>
      <c r="B81" s="14" t="s">
        <v>146</v>
      </c>
      <c r="C81" s="15" t="s">
        <v>147</v>
      </c>
      <c r="D81" s="32"/>
      <c r="E81" s="18">
        <f>IF(Tarifas!G51="","",Tarifas!G51)</f>
        <v>9.29</v>
      </c>
      <c r="F81" s="26" t="str">
        <f t="shared" si="5"/>
        <v/>
      </c>
    </row>
    <row r="82" ht="36.0" customHeight="1">
      <c r="A82" s="1"/>
      <c r="B82" s="27" t="s">
        <v>148</v>
      </c>
      <c r="C82" s="23" t="s">
        <v>149</v>
      </c>
      <c r="D82" s="32"/>
      <c r="E82" s="28">
        <f>IF(Tarifas!G52="","",Tarifas!G52)</f>
        <v>9.29</v>
      </c>
      <c r="F82" s="29" t="str">
        <f t="shared" si="5"/>
        <v/>
      </c>
    </row>
    <row r="83" ht="27.0" customHeight="1">
      <c r="A83" s="1"/>
      <c r="B83" s="14" t="s">
        <v>150</v>
      </c>
      <c r="C83" s="15" t="s">
        <v>151</v>
      </c>
      <c r="D83" s="32"/>
      <c r="E83" s="18">
        <f>IF(Tarifas!G53="","",Tarifas!G53)</f>
        <v>9.29</v>
      </c>
      <c r="F83" s="26" t="str">
        <f t="shared" si="5"/>
        <v/>
      </c>
    </row>
    <row r="84" ht="27.0" customHeight="1">
      <c r="A84" s="1"/>
      <c r="B84" s="27" t="s">
        <v>152</v>
      </c>
      <c r="C84" s="23" t="s">
        <v>153</v>
      </c>
      <c r="D84" s="32"/>
      <c r="E84" s="28">
        <f>IF(Tarifas!G54="","",Tarifas!G54)</f>
        <v>9.29</v>
      </c>
      <c r="F84" s="29" t="str">
        <f t="shared" si="5"/>
        <v/>
      </c>
    </row>
    <row r="85" ht="36.0" customHeight="1">
      <c r="A85" s="1"/>
      <c r="B85" s="14" t="s">
        <v>154</v>
      </c>
      <c r="C85" s="15" t="s">
        <v>155</v>
      </c>
      <c r="D85" s="32"/>
      <c r="E85" s="18">
        <f>IF(Tarifas!G55="","",Tarifas!G55)</f>
        <v>9.29</v>
      </c>
      <c r="F85" s="26" t="str">
        <f t="shared" si="5"/>
        <v/>
      </c>
    </row>
    <row r="86" ht="36.0" customHeight="1">
      <c r="A86" s="1"/>
      <c r="B86" s="27" t="s">
        <v>156</v>
      </c>
      <c r="C86" s="23" t="s">
        <v>157</v>
      </c>
      <c r="D86" s="32"/>
      <c r="E86" s="28">
        <f>IF(Tarifas!G56="","",Tarifas!G56)</f>
        <v>9.94</v>
      </c>
      <c r="F86" s="29" t="str">
        <f t="shared" si="5"/>
        <v/>
      </c>
    </row>
    <row r="87" ht="27.0" customHeight="1">
      <c r="A87" s="1"/>
      <c r="B87" s="14" t="s">
        <v>158</v>
      </c>
      <c r="C87" s="15" t="s">
        <v>159</v>
      </c>
      <c r="D87" s="32"/>
      <c r="E87" s="18">
        <f>IF(Tarifas!G57="","",Tarifas!G57)</f>
        <v>13.79</v>
      </c>
      <c r="F87" s="26" t="str">
        <f t="shared" si="5"/>
        <v/>
      </c>
    </row>
    <row r="88" ht="27.0" customHeight="1">
      <c r="A88" s="1"/>
      <c r="B88" s="27" t="s">
        <v>160</v>
      </c>
      <c r="C88" s="23" t="s">
        <v>161</v>
      </c>
      <c r="D88" s="32"/>
      <c r="E88" s="28">
        <f>IF(Tarifas!G58="","",Tarifas!G58)</f>
        <v>5.54</v>
      </c>
      <c r="F88" s="29" t="str">
        <f t="shared" si="5"/>
        <v/>
      </c>
    </row>
    <row r="89" ht="27.0" customHeight="1">
      <c r="A89" s="1"/>
      <c r="B89" s="14" t="s">
        <v>162</v>
      </c>
      <c r="C89" s="15" t="s">
        <v>163</v>
      </c>
      <c r="D89" s="32"/>
      <c r="E89" s="18">
        <f>IF(Tarifas!G59="","",Tarifas!G59)</f>
        <v>61.17</v>
      </c>
      <c r="F89" s="26" t="str">
        <f t="shared" si="5"/>
        <v/>
      </c>
    </row>
    <row r="90" ht="27.0" customHeight="1">
      <c r="A90" s="1"/>
      <c r="B90" s="27" t="s">
        <v>164</v>
      </c>
      <c r="C90" s="23" t="s">
        <v>165</v>
      </c>
      <c r="D90" s="32"/>
      <c r="E90" s="28">
        <f>IF(Tarifas!G60="","",Tarifas!G60)</f>
        <v>61.17</v>
      </c>
      <c r="F90" s="29" t="str">
        <f t="shared" si="5"/>
        <v/>
      </c>
    </row>
    <row r="91" ht="27.0" customHeight="1">
      <c r="A91" s="1"/>
      <c r="B91" s="14" t="s">
        <v>166</v>
      </c>
      <c r="C91" s="15" t="s">
        <v>167</v>
      </c>
      <c r="D91" s="32"/>
      <c r="E91" s="18">
        <f>IF(Tarifas!G61="","",Tarifas!G61)</f>
        <v>61.17</v>
      </c>
      <c r="F91" s="26" t="str">
        <f t="shared" si="5"/>
        <v/>
      </c>
    </row>
    <row r="92" ht="27.0" customHeight="1">
      <c r="A92" s="1"/>
      <c r="B92" s="27" t="s">
        <v>168</v>
      </c>
      <c r="C92" s="23" t="s">
        <v>169</v>
      </c>
      <c r="D92" s="32"/>
      <c r="E92" s="28">
        <f>IF(Tarifas!G62="","",Tarifas!G62)</f>
        <v>61.17</v>
      </c>
      <c r="F92" s="29" t="str">
        <f t="shared" si="5"/>
        <v/>
      </c>
    </row>
    <row r="93" ht="27.0" customHeight="1">
      <c r="A93" s="1"/>
      <c r="B93" s="14" t="s">
        <v>170</v>
      </c>
      <c r="C93" s="15" t="s">
        <v>171</v>
      </c>
      <c r="D93" s="32"/>
      <c r="E93" s="18">
        <f>IF(Tarifas!G63="","",Tarifas!G63)</f>
        <v>61.17</v>
      </c>
      <c r="F93" s="26" t="str">
        <f t="shared" si="5"/>
        <v/>
      </c>
    </row>
    <row r="94" ht="27.0" customHeight="1">
      <c r="A94" s="1"/>
      <c r="B94" s="27" t="s">
        <v>172</v>
      </c>
      <c r="C94" s="23" t="s">
        <v>173</v>
      </c>
      <c r="D94" s="32"/>
      <c r="E94" s="28">
        <f>IF(Tarifas!G64="","",Tarifas!G64)</f>
        <v>61.17</v>
      </c>
      <c r="F94" s="29" t="str">
        <f t="shared" si="5"/>
        <v/>
      </c>
    </row>
    <row r="95" ht="27.0" customHeight="1">
      <c r="A95" s="1"/>
      <c r="B95" s="14" t="s">
        <v>174</v>
      </c>
      <c r="C95" s="15" t="s">
        <v>175</v>
      </c>
      <c r="D95" s="32"/>
      <c r="E95" s="18">
        <f>IF(Tarifas!G65="","",Tarifas!G65)</f>
        <v>5.33</v>
      </c>
      <c r="F95" s="26" t="str">
        <f t="shared" si="5"/>
        <v/>
      </c>
    </row>
    <row r="96" ht="27.0" customHeight="1">
      <c r="A96" s="1"/>
      <c r="B96" s="27" t="s">
        <v>176</v>
      </c>
      <c r="C96" s="23" t="s">
        <v>177</v>
      </c>
      <c r="D96" s="32"/>
      <c r="E96" s="28">
        <f>IF(Tarifas!G66="","",Tarifas!G66)</f>
        <v>62.16</v>
      </c>
      <c r="F96" s="29" t="str">
        <f t="shared" si="5"/>
        <v/>
      </c>
    </row>
    <row r="97" ht="27.0" customHeight="1">
      <c r="A97" s="1"/>
      <c r="B97" s="14" t="s">
        <v>178</v>
      </c>
      <c r="C97" s="15" t="s">
        <v>179</v>
      </c>
      <c r="D97" s="32"/>
      <c r="E97" s="18">
        <f>IF(Tarifas!G67="","",Tarifas!G67)</f>
        <v>1.2</v>
      </c>
      <c r="F97" s="26" t="str">
        <f t="shared" si="5"/>
        <v/>
      </c>
    </row>
    <row r="98" ht="27.0" customHeight="1">
      <c r="A98" s="1"/>
      <c r="B98" s="27" t="s">
        <v>180</v>
      </c>
      <c r="C98" s="23" t="s">
        <v>181</v>
      </c>
      <c r="D98" s="32"/>
      <c r="E98" s="28">
        <f>IF(Tarifas!G68="","",Tarifas!G68)</f>
        <v>10.74</v>
      </c>
      <c r="F98" s="29" t="str">
        <f t="shared" si="5"/>
        <v/>
      </c>
    </row>
    <row r="99" ht="27.0" customHeight="1">
      <c r="A99" s="1"/>
      <c r="B99" s="14" t="s">
        <v>182</v>
      </c>
      <c r="C99" s="15" t="s">
        <v>183</v>
      </c>
      <c r="D99" s="32"/>
      <c r="E99" s="18">
        <f>IF(Tarifas!G69="","",Tarifas!G69)</f>
        <v>21.45</v>
      </c>
      <c r="F99" s="26" t="str">
        <f t="shared" si="5"/>
        <v/>
      </c>
    </row>
    <row r="100" ht="27.0" customHeight="1">
      <c r="A100" s="1"/>
      <c r="B100" s="27" t="s">
        <v>184</v>
      </c>
      <c r="C100" s="23" t="s">
        <v>185</v>
      </c>
      <c r="D100" s="32"/>
      <c r="E100" s="28">
        <f>IF(Tarifas!G70="","",Tarifas!G70)</f>
        <v>11.56</v>
      </c>
      <c r="F100" s="29" t="str">
        <f t="shared" si="5"/>
        <v/>
      </c>
    </row>
    <row r="101" ht="27.0" customHeight="1">
      <c r="A101" s="1"/>
      <c r="B101" s="14" t="s">
        <v>186</v>
      </c>
      <c r="C101" s="15" t="s">
        <v>187</v>
      </c>
      <c r="D101" s="32"/>
      <c r="E101" s="18">
        <f>IF(Tarifas!G71="","",Tarifas!G71)</f>
        <v>82.23</v>
      </c>
      <c r="F101" s="26" t="str">
        <f t="shared" si="5"/>
        <v/>
      </c>
    </row>
    <row r="102" ht="27.0" customHeight="1">
      <c r="A102" s="1"/>
      <c r="B102" s="27" t="s">
        <v>188</v>
      </c>
      <c r="C102" s="23" t="s">
        <v>189</v>
      </c>
      <c r="D102" s="32"/>
      <c r="E102" s="28">
        <f>IF(Tarifas!G72="","",Tarifas!G72)</f>
        <v>29.32</v>
      </c>
      <c r="F102" s="29" t="str">
        <f t="shared" si="5"/>
        <v/>
      </c>
    </row>
    <row r="103" ht="27.0" customHeight="1">
      <c r="A103" s="1"/>
      <c r="B103" s="14" t="s">
        <v>190</v>
      </c>
      <c r="C103" s="15" t="s">
        <v>191</v>
      </c>
      <c r="D103" s="32"/>
      <c r="E103" s="18">
        <f>IF(Tarifas!G73="","",Tarifas!G73)</f>
        <v>82.56</v>
      </c>
      <c r="F103" s="26" t="str">
        <f t="shared" si="5"/>
        <v/>
      </c>
    </row>
    <row r="104" ht="27.0" customHeight="1">
      <c r="A104" s="1"/>
      <c r="B104" s="27" t="s">
        <v>192</v>
      </c>
      <c r="C104" s="23" t="s">
        <v>193</v>
      </c>
      <c r="D104" s="32"/>
      <c r="E104" s="28">
        <f>IF(Tarifas!G74="","",Tarifas!G74)</f>
        <v>82.56</v>
      </c>
      <c r="F104" s="29" t="str">
        <f t="shared" si="5"/>
        <v/>
      </c>
    </row>
    <row r="105" ht="27.0" customHeight="1">
      <c r="A105" s="1"/>
      <c r="B105" s="14" t="s">
        <v>194</v>
      </c>
      <c r="C105" s="15" t="s">
        <v>195</v>
      </c>
      <c r="D105" s="32"/>
      <c r="E105" s="18">
        <f>IF(Tarifas!G75="","",Tarifas!G75)</f>
        <v>90.91</v>
      </c>
      <c r="F105" s="26" t="str">
        <f t="shared" si="5"/>
        <v/>
      </c>
    </row>
    <row r="106" ht="27.0" customHeight="1">
      <c r="A106" s="1"/>
      <c r="B106" s="27" t="s">
        <v>196</v>
      </c>
      <c r="C106" s="23" t="s">
        <v>197</v>
      </c>
      <c r="D106" s="32"/>
      <c r="E106" s="28">
        <f>IF(Tarifas!G76="","",Tarifas!G76)</f>
        <v>46.93</v>
      </c>
      <c r="F106" s="29" t="str">
        <f t="shared" si="5"/>
        <v/>
      </c>
    </row>
    <row r="107" ht="27.0" customHeight="1">
      <c r="A107" s="1"/>
      <c r="B107" s="14" t="s">
        <v>198</v>
      </c>
      <c r="C107" s="15" t="s">
        <v>199</v>
      </c>
      <c r="D107" s="32"/>
      <c r="E107" s="18">
        <f>IF(Tarifas!G77="","",Tarifas!G77)</f>
        <v>29.32</v>
      </c>
      <c r="F107" s="26" t="str">
        <f t="shared" si="5"/>
        <v/>
      </c>
    </row>
    <row r="108" ht="27.0" customHeight="1">
      <c r="A108" s="1"/>
      <c r="B108" s="27" t="s">
        <v>201</v>
      </c>
      <c r="C108" s="23" t="s">
        <v>202</v>
      </c>
      <c r="D108" s="32"/>
      <c r="E108" s="28">
        <f>IF(Tarifas!G78="","",Tarifas!G78)</f>
        <v>13.6</v>
      </c>
      <c r="F108" s="29" t="str">
        <f t="shared" si="5"/>
        <v/>
      </c>
    </row>
    <row r="109" ht="27.0" customHeight="1">
      <c r="A109" s="1"/>
      <c r="B109" s="14" t="s">
        <v>203</v>
      </c>
      <c r="C109" s="15" t="s">
        <v>204</v>
      </c>
      <c r="D109" s="32"/>
      <c r="E109" s="18">
        <f>IF(Tarifas!G79="","",Tarifas!G79)</f>
        <v>27.23</v>
      </c>
      <c r="F109" s="26" t="str">
        <f t="shared" si="5"/>
        <v/>
      </c>
    </row>
    <row r="110" ht="27.0" customHeight="1">
      <c r="A110" s="1"/>
      <c r="B110" s="27" t="s">
        <v>205</v>
      </c>
      <c r="C110" s="23" t="s">
        <v>206</v>
      </c>
      <c r="D110" s="32"/>
      <c r="E110" s="28">
        <f>IF(Tarifas!G80="","",Tarifas!G80)</f>
        <v>6.16</v>
      </c>
      <c r="F110" s="29" t="str">
        <f t="shared" si="5"/>
        <v/>
      </c>
    </row>
    <row r="111" ht="27.0" customHeight="1">
      <c r="A111" s="1"/>
      <c r="B111" s="14" t="s">
        <v>207</v>
      </c>
      <c r="C111" s="15" t="s">
        <v>208</v>
      </c>
      <c r="D111" s="32"/>
      <c r="E111" s="18">
        <f>IF(Tarifas!G81="","",Tarifas!G81)</f>
        <v>11.36</v>
      </c>
      <c r="F111" s="26" t="str">
        <f t="shared" si="5"/>
        <v/>
      </c>
    </row>
    <row r="112" ht="27.0" customHeight="1">
      <c r="A112" s="1"/>
      <c r="B112" s="27" t="s">
        <v>209</v>
      </c>
      <c r="C112" s="23" t="s">
        <v>210</v>
      </c>
      <c r="D112" s="32"/>
      <c r="E112" s="28">
        <f>IF(Tarifas!G82="","",Tarifas!G82)</f>
        <v>1.82</v>
      </c>
      <c r="F112" s="29" t="str">
        <f t="shared" si="5"/>
        <v/>
      </c>
    </row>
    <row r="113" ht="27.0" customHeight="1">
      <c r="A113" s="1"/>
      <c r="B113" s="14" t="s">
        <v>211</v>
      </c>
      <c r="C113" s="15" t="s">
        <v>212</v>
      </c>
      <c r="D113" s="32"/>
      <c r="E113" s="18">
        <f>IF(Tarifas!G83="","",Tarifas!G83)</f>
        <v>2.02</v>
      </c>
      <c r="F113" s="26" t="str">
        <f t="shared" si="5"/>
        <v/>
      </c>
    </row>
    <row r="114" ht="27.0" customHeight="1">
      <c r="A114" s="1"/>
      <c r="B114" s="27" t="s">
        <v>213</v>
      </c>
      <c r="C114" s="23" t="s">
        <v>214</v>
      </c>
      <c r="D114" s="32"/>
      <c r="E114" s="28">
        <f>IF(Tarifas!G84="","",Tarifas!G84)</f>
        <v>14.83</v>
      </c>
      <c r="F114" s="29" t="str">
        <f t="shared" si="5"/>
        <v/>
      </c>
    </row>
    <row r="115" ht="27.0" customHeight="1">
      <c r="A115" s="1"/>
      <c r="B115" s="14" t="s">
        <v>215</v>
      </c>
      <c r="C115" s="15" t="s">
        <v>216</v>
      </c>
      <c r="D115" s="32"/>
      <c r="E115" s="18">
        <f>IF(Tarifas!G85="","",Tarifas!G85)</f>
        <v>13.01</v>
      </c>
      <c r="F115" s="26" t="str">
        <f t="shared" si="5"/>
        <v/>
      </c>
    </row>
    <row r="116" ht="27.0" customHeight="1">
      <c r="A116" s="1"/>
      <c r="B116" s="27" t="s">
        <v>217</v>
      </c>
      <c r="C116" s="23" t="s">
        <v>218</v>
      </c>
      <c r="D116" s="32"/>
      <c r="E116" s="28">
        <f>IF(Tarifas!G86="","",Tarifas!G86)</f>
        <v>12.6</v>
      </c>
      <c r="F116" s="29" t="str">
        <f t="shared" si="5"/>
        <v/>
      </c>
    </row>
    <row r="117" ht="27.0" customHeight="1">
      <c r="A117" s="1"/>
      <c r="B117" s="14" t="s">
        <v>219</v>
      </c>
      <c r="C117" s="15" t="s">
        <v>220</v>
      </c>
      <c r="D117" s="32"/>
      <c r="E117" s="18">
        <f>IF(Tarifas!G87="","",Tarifas!G87)</f>
        <v>26.39</v>
      </c>
      <c r="F117" s="26" t="str">
        <f t="shared" si="5"/>
        <v/>
      </c>
    </row>
    <row r="118" ht="27.0" customHeight="1">
      <c r="A118" s="1"/>
      <c r="B118" s="27" t="s">
        <v>221</v>
      </c>
      <c r="C118" s="23" t="s">
        <v>222</v>
      </c>
      <c r="D118" s="32"/>
      <c r="E118" s="28">
        <f>IF(Tarifas!G88="","",Tarifas!G88)</f>
        <v>35.11</v>
      </c>
      <c r="F118" s="29" t="str">
        <f t="shared" si="5"/>
        <v/>
      </c>
    </row>
    <row r="119" ht="22.5" customHeight="1">
      <c r="A119" s="1"/>
      <c r="B119" s="1"/>
      <c r="C119" s="1"/>
      <c r="D119" s="1"/>
      <c r="E119" s="1"/>
      <c r="F119" s="1"/>
    </row>
    <row r="120" ht="24.0" customHeight="1">
      <c r="A120" s="1"/>
      <c r="B120" s="9" t="s">
        <v>223</v>
      </c>
    </row>
    <row r="121" ht="24.75" customHeight="1">
      <c r="A121" s="1"/>
      <c r="B121" s="13" t="s">
        <v>27</v>
      </c>
      <c r="C121" s="13" t="s">
        <v>28</v>
      </c>
      <c r="D121" s="13" t="s">
        <v>29</v>
      </c>
      <c r="E121" s="13" t="s">
        <v>30</v>
      </c>
      <c r="F121" s="13" t="s">
        <v>31</v>
      </c>
    </row>
    <row r="122" ht="27.0" customHeight="1">
      <c r="A122" s="1"/>
      <c r="B122" s="14" t="s">
        <v>224</v>
      </c>
      <c r="C122" s="15" t="s">
        <v>225</v>
      </c>
      <c r="D122" s="32"/>
      <c r="E122" s="18">
        <f>IF(Tarifas!G89="","",Tarifas!G89)</f>
        <v>8.97</v>
      </c>
      <c r="F122" s="26" t="str">
        <f t="shared" ref="F122:F164" si="6">IF(OR(D122="",D122=0),"",IF(E122="","PENDIENTE",ROUND(D122*E122,2)))</f>
        <v/>
      </c>
    </row>
    <row r="123" ht="27.0" customHeight="1">
      <c r="A123" s="1"/>
      <c r="B123" s="27" t="s">
        <v>226</v>
      </c>
      <c r="C123" s="23" t="s">
        <v>227</v>
      </c>
      <c r="D123" s="32"/>
      <c r="E123" s="28">
        <f>IF(Tarifas!G90="","",Tarifas!G90)</f>
        <v>8.97</v>
      </c>
      <c r="F123" s="29" t="str">
        <f t="shared" si="6"/>
        <v/>
      </c>
    </row>
    <row r="124" ht="27.0" customHeight="1">
      <c r="A124" s="1"/>
      <c r="B124" s="14" t="s">
        <v>228</v>
      </c>
      <c r="C124" s="15" t="s">
        <v>229</v>
      </c>
      <c r="D124" s="32"/>
      <c r="E124" s="18">
        <f>IF(Tarifas!G91="","",Tarifas!G91)</f>
        <v>8.97</v>
      </c>
      <c r="F124" s="26" t="str">
        <f t="shared" si="6"/>
        <v/>
      </c>
    </row>
    <row r="125" ht="27.0" customHeight="1">
      <c r="A125" s="1"/>
      <c r="B125" s="27" t="s">
        <v>230</v>
      </c>
      <c r="C125" s="23" t="s">
        <v>231</v>
      </c>
      <c r="D125" s="32"/>
      <c r="E125" s="28">
        <f>IF(Tarifas!G92="","",Tarifas!G92)</f>
        <v>34.42</v>
      </c>
      <c r="F125" s="29" t="str">
        <f t="shared" si="6"/>
        <v/>
      </c>
    </row>
    <row r="126" ht="36.0" customHeight="1">
      <c r="A126" s="1"/>
      <c r="B126" s="14" t="s">
        <v>232</v>
      </c>
      <c r="C126" s="15" t="s">
        <v>233</v>
      </c>
      <c r="D126" s="32"/>
      <c r="E126" s="18">
        <f>IF(Tarifas!G93="","",Tarifas!G93)</f>
        <v>34.42</v>
      </c>
      <c r="F126" s="26" t="str">
        <f t="shared" si="6"/>
        <v/>
      </c>
    </row>
    <row r="127" ht="36.0" customHeight="1">
      <c r="A127" s="1"/>
      <c r="B127" s="27" t="s">
        <v>234</v>
      </c>
      <c r="C127" s="23" t="s">
        <v>235</v>
      </c>
      <c r="D127" s="32"/>
      <c r="E127" s="28">
        <f>IF(Tarifas!G94="","",Tarifas!G94)</f>
        <v>34.42</v>
      </c>
      <c r="F127" s="29" t="str">
        <f t="shared" si="6"/>
        <v/>
      </c>
    </row>
    <row r="128" ht="36.0" customHeight="1">
      <c r="A128" s="1"/>
      <c r="B128" s="14" t="s">
        <v>236</v>
      </c>
      <c r="C128" s="15" t="s">
        <v>237</v>
      </c>
      <c r="D128" s="32"/>
      <c r="E128" s="18">
        <f>IF(Tarifas!G95="","",Tarifas!G95)</f>
        <v>34.42</v>
      </c>
      <c r="F128" s="26" t="str">
        <f t="shared" si="6"/>
        <v/>
      </c>
    </row>
    <row r="129" ht="36.0" customHeight="1">
      <c r="A129" s="1"/>
      <c r="B129" s="27" t="s">
        <v>238</v>
      </c>
      <c r="C129" s="23" t="s">
        <v>239</v>
      </c>
      <c r="D129" s="32"/>
      <c r="E129" s="28">
        <f>IF(Tarifas!G96="","",Tarifas!G96)</f>
        <v>34.42</v>
      </c>
      <c r="F129" s="29" t="str">
        <f t="shared" si="6"/>
        <v/>
      </c>
    </row>
    <row r="130" ht="36.0" customHeight="1">
      <c r="A130" s="1"/>
      <c r="B130" s="14" t="s">
        <v>240</v>
      </c>
      <c r="C130" s="15" t="s">
        <v>241</v>
      </c>
      <c r="D130" s="32"/>
      <c r="E130" s="18">
        <f>IF(Tarifas!G97="","",Tarifas!G97)</f>
        <v>34.42</v>
      </c>
      <c r="F130" s="26" t="str">
        <f t="shared" si="6"/>
        <v/>
      </c>
    </row>
    <row r="131" ht="36.0" customHeight="1">
      <c r="A131" s="1"/>
      <c r="B131" s="27" t="s">
        <v>242</v>
      </c>
      <c r="C131" s="23" t="s">
        <v>243</v>
      </c>
      <c r="D131" s="32"/>
      <c r="E131" s="28">
        <f>IF(Tarifas!G98="","",Tarifas!G98)</f>
        <v>34.42</v>
      </c>
      <c r="F131" s="29" t="str">
        <f t="shared" si="6"/>
        <v/>
      </c>
    </row>
    <row r="132" ht="36.0" customHeight="1">
      <c r="A132" s="1"/>
      <c r="B132" s="14" t="s">
        <v>245</v>
      </c>
      <c r="C132" s="15" t="s">
        <v>246</v>
      </c>
      <c r="D132" s="32"/>
      <c r="E132" s="18">
        <f>IF(Tarifas!G99="","",Tarifas!G99)</f>
        <v>34.42</v>
      </c>
      <c r="F132" s="26" t="str">
        <f t="shared" si="6"/>
        <v/>
      </c>
    </row>
    <row r="133" ht="36.0" customHeight="1">
      <c r="A133" s="1"/>
      <c r="B133" s="27" t="s">
        <v>247</v>
      </c>
      <c r="C133" s="23" t="s">
        <v>248</v>
      </c>
      <c r="D133" s="32"/>
      <c r="E133" s="28">
        <f>IF(Tarifas!G100="","",Tarifas!G100)</f>
        <v>34.42</v>
      </c>
      <c r="F133" s="29" t="str">
        <f t="shared" si="6"/>
        <v/>
      </c>
    </row>
    <row r="134" ht="27.0" customHeight="1">
      <c r="A134" s="1"/>
      <c r="B134" s="14" t="s">
        <v>249</v>
      </c>
      <c r="C134" s="15" t="s">
        <v>250</v>
      </c>
      <c r="D134" s="32"/>
      <c r="E134" s="18">
        <f>IF(Tarifas!G101="","",Tarifas!G101)</f>
        <v>8.26</v>
      </c>
      <c r="F134" s="26" t="str">
        <f t="shared" si="6"/>
        <v/>
      </c>
    </row>
    <row r="135" ht="27.0" customHeight="1">
      <c r="A135" s="1"/>
      <c r="B135" s="27" t="s">
        <v>252</v>
      </c>
      <c r="C135" s="23" t="s">
        <v>253</v>
      </c>
      <c r="D135" s="32"/>
      <c r="E135" s="28">
        <f>IF(Tarifas!G102="","",Tarifas!G102)</f>
        <v>10.91</v>
      </c>
      <c r="F135" s="29" t="str">
        <f t="shared" si="6"/>
        <v/>
      </c>
    </row>
    <row r="136" ht="27.0" customHeight="1">
      <c r="A136" s="1"/>
      <c r="B136" s="14" t="s">
        <v>254</v>
      </c>
      <c r="C136" s="15" t="s">
        <v>255</v>
      </c>
      <c r="D136" s="32"/>
      <c r="E136" s="18">
        <f>IF(Tarifas!G103="","",Tarifas!G103)</f>
        <v>34.07</v>
      </c>
      <c r="F136" s="26" t="str">
        <f t="shared" si="6"/>
        <v/>
      </c>
    </row>
    <row r="137" ht="27.0" customHeight="1">
      <c r="A137" s="1"/>
      <c r="B137" s="27" t="s">
        <v>256</v>
      </c>
      <c r="C137" s="23" t="s">
        <v>257</v>
      </c>
      <c r="D137" s="32"/>
      <c r="E137" s="28">
        <f>IF(Tarifas!G104="","",Tarifas!G104)</f>
        <v>26.69</v>
      </c>
      <c r="F137" s="29" t="str">
        <f t="shared" si="6"/>
        <v/>
      </c>
    </row>
    <row r="138" ht="27.0" customHeight="1">
      <c r="A138" s="1"/>
      <c r="B138" s="14" t="s">
        <v>258</v>
      </c>
      <c r="C138" s="15" t="s">
        <v>259</v>
      </c>
      <c r="D138" s="32"/>
      <c r="E138" s="18">
        <f>IF(Tarifas!G105="","",Tarifas!G105)</f>
        <v>28.93</v>
      </c>
      <c r="F138" s="26" t="str">
        <f t="shared" si="6"/>
        <v/>
      </c>
    </row>
    <row r="139" ht="36.0" customHeight="1">
      <c r="A139" s="1"/>
      <c r="B139" s="27" t="s">
        <v>260</v>
      </c>
      <c r="C139" s="23" t="s">
        <v>261</v>
      </c>
      <c r="D139" s="32"/>
      <c r="E139" s="28">
        <f>IF(Tarifas!G106="","",Tarifas!G106)</f>
        <v>34.68</v>
      </c>
      <c r="F139" s="29" t="str">
        <f t="shared" si="6"/>
        <v/>
      </c>
    </row>
    <row r="140" ht="36.0" customHeight="1">
      <c r="A140" s="1"/>
      <c r="B140" s="14" t="s">
        <v>262</v>
      </c>
      <c r="C140" s="15" t="s">
        <v>263</v>
      </c>
      <c r="D140" s="32"/>
      <c r="E140" s="18">
        <f>IF(Tarifas!G107="","",Tarifas!G107)</f>
        <v>34.68</v>
      </c>
      <c r="F140" s="26" t="str">
        <f t="shared" si="6"/>
        <v/>
      </c>
    </row>
    <row r="141" ht="36.0" customHeight="1">
      <c r="A141" s="1"/>
      <c r="B141" s="27" t="s">
        <v>264</v>
      </c>
      <c r="C141" s="23" t="s">
        <v>265</v>
      </c>
      <c r="D141" s="32"/>
      <c r="E141" s="28">
        <f>IF(Tarifas!G108="","",Tarifas!G108)</f>
        <v>34.68</v>
      </c>
      <c r="F141" s="29" t="str">
        <f t="shared" si="6"/>
        <v/>
      </c>
    </row>
    <row r="142" ht="36.0" customHeight="1">
      <c r="A142" s="1"/>
      <c r="B142" s="14" t="s">
        <v>266</v>
      </c>
      <c r="C142" s="15" t="s">
        <v>267</v>
      </c>
      <c r="D142" s="32"/>
      <c r="E142" s="18">
        <f>IF(Tarifas!G109="","",Tarifas!G109)</f>
        <v>34.68</v>
      </c>
      <c r="F142" s="26" t="str">
        <f t="shared" si="6"/>
        <v/>
      </c>
    </row>
    <row r="143" ht="36.0" customHeight="1">
      <c r="A143" s="1"/>
      <c r="B143" s="27" t="s">
        <v>268</v>
      </c>
      <c r="C143" s="23" t="s">
        <v>269</v>
      </c>
      <c r="D143" s="32"/>
      <c r="E143" s="28">
        <f>IF(Tarifas!G110="","",Tarifas!G110)</f>
        <v>34.68</v>
      </c>
      <c r="F143" s="29" t="str">
        <f t="shared" si="6"/>
        <v/>
      </c>
    </row>
    <row r="144" ht="36.0" customHeight="1">
      <c r="A144" s="1"/>
      <c r="B144" s="14" t="s">
        <v>270</v>
      </c>
      <c r="C144" s="15" t="s">
        <v>271</v>
      </c>
      <c r="D144" s="32"/>
      <c r="E144" s="18">
        <f>IF(Tarifas!G111="","",Tarifas!G111)</f>
        <v>34.68</v>
      </c>
      <c r="F144" s="26" t="str">
        <f t="shared" si="6"/>
        <v/>
      </c>
    </row>
    <row r="145" ht="27.0" customHeight="1">
      <c r="A145" s="1"/>
      <c r="B145" s="27" t="s">
        <v>272</v>
      </c>
      <c r="C145" s="23" t="s">
        <v>273</v>
      </c>
      <c r="D145" s="32"/>
      <c r="E145" s="28">
        <f>IF(Tarifas!G112="","",Tarifas!G112)</f>
        <v>14.79</v>
      </c>
      <c r="F145" s="29" t="str">
        <f t="shared" si="6"/>
        <v/>
      </c>
    </row>
    <row r="146" ht="27.0" customHeight="1">
      <c r="A146" s="1"/>
      <c r="B146" s="14" t="s">
        <v>274</v>
      </c>
      <c r="C146" s="15" t="s">
        <v>275</v>
      </c>
      <c r="D146" s="32"/>
      <c r="E146" s="18">
        <f>IF(Tarifas!G113="","",Tarifas!G113)</f>
        <v>34.68</v>
      </c>
      <c r="F146" s="26" t="str">
        <f t="shared" si="6"/>
        <v/>
      </c>
    </row>
    <row r="147" ht="27.0" customHeight="1">
      <c r="A147" s="1"/>
      <c r="B147" s="27" t="s">
        <v>276</v>
      </c>
      <c r="C147" s="23" t="s">
        <v>277</v>
      </c>
      <c r="D147" s="32"/>
      <c r="E147" s="28">
        <f>IF(Tarifas!G114="","",Tarifas!G114)</f>
        <v>11.74</v>
      </c>
      <c r="F147" s="29" t="str">
        <f t="shared" si="6"/>
        <v/>
      </c>
    </row>
    <row r="148" ht="27.0" customHeight="1">
      <c r="A148" s="1"/>
      <c r="B148" s="14" t="s">
        <v>278</v>
      </c>
      <c r="C148" s="15" t="s">
        <v>279</v>
      </c>
      <c r="D148" s="32"/>
      <c r="E148" s="18">
        <f>IF(Tarifas!G115="","",Tarifas!G115)</f>
        <v>11.74</v>
      </c>
      <c r="F148" s="26" t="str">
        <f t="shared" si="6"/>
        <v/>
      </c>
    </row>
    <row r="149" ht="36.0" customHeight="1">
      <c r="A149" s="1"/>
      <c r="B149" s="27" t="s">
        <v>280</v>
      </c>
      <c r="C149" s="23" t="s">
        <v>281</v>
      </c>
      <c r="D149" s="32"/>
      <c r="E149" s="28">
        <f>IF(Tarifas!G116="","",Tarifas!G116)</f>
        <v>25</v>
      </c>
      <c r="F149" s="29" t="str">
        <f t="shared" si="6"/>
        <v/>
      </c>
    </row>
    <row r="150" ht="36.0" customHeight="1">
      <c r="A150" s="1"/>
      <c r="B150" s="14" t="s">
        <v>282</v>
      </c>
      <c r="C150" s="15" t="s">
        <v>283</v>
      </c>
      <c r="D150" s="32"/>
      <c r="E150" s="18">
        <f>IF(Tarifas!G117="","",Tarifas!G117)</f>
        <v>25</v>
      </c>
      <c r="F150" s="26" t="str">
        <f t="shared" si="6"/>
        <v/>
      </c>
    </row>
    <row r="151" ht="36.0" customHeight="1">
      <c r="A151" s="1"/>
      <c r="B151" s="27" t="s">
        <v>284</v>
      </c>
      <c r="C151" s="23" t="s">
        <v>285</v>
      </c>
      <c r="D151" s="32"/>
      <c r="E151" s="28">
        <f>IF(Tarifas!G118="","",Tarifas!G118)</f>
        <v>25</v>
      </c>
      <c r="F151" s="29" t="str">
        <f t="shared" si="6"/>
        <v/>
      </c>
    </row>
    <row r="152" ht="36.0" customHeight="1">
      <c r="A152" s="1"/>
      <c r="B152" s="14" t="s">
        <v>286</v>
      </c>
      <c r="C152" s="15" t="s">
        <v>287</v>
      </c>
      <c r="D152" s="32"/>
      <c r="E152" s="18">
        <f>IF(Tarifas!G119="","",Tarifas!G119)</f>
        <v>25</v>
      </c>
      <c r="F152" s="26" t="str">
        <f t="shared" si="6"/>
        <v/>
      </c>
    </row>
    <row r="153" ht="36.0" customHeight="1">
      <c r="A153" s="1"/>
      <c r="B153" s="27" t="s">
        <v>288</v>
      </c>
      <c r="C153" s="23" t="s">
        <v>289</v>
      </c>
      <c r="D153" s="32"/>
      <c r="E153" s="28">
        <f>IF(Tarifas!G120="","",Tarifas!G120)</f>
        <v>25</v>
      </c>
      <c r="F153" s="29" t="str">
        <f t="shared" si="6"/>
        <v/>
      </c>
    </row>
    <row r="154" ht="36.0" customHeight="1">
      <c r="A154" s="1"/>
      <c r="B154" s="14" t="s">
        <v>290</v>
      </c>
      <c r="C154" s="15" t="s">
        <v>291</v>
      </c>
      <c r="D154" s="32"/>
      <c r="E154" s="18">
        <f>IF(Tarifas!G121="","",Tarifas!G121)</f>
        <v>25</v>
      </c>
      <c r="F154" s="26" t="str">
        <f t="shared" si="6"/>
        <v/>
      </c>
    </row>
    <row r="155" ht="36.0" customHeight="1">
      <c r="A155" s="1"/>
      <c r="B155" s="27" t="s">
        <v>292</v>
      </c>
      <c r="C155" s="23" t="s">
        <v>293</v>
      </c>
      <c r="D155" s="32"/>
      <c r="E155" s="28">
        <f>IF(Tarifas!G122="","",Tarifas!G122)</f>
        <v>25</v>
      </c>
      <c r="F155" s="29" t="str">
        <f t="shared" si="6"/>
        <v/>
      </c>
    </row>
    <row r="156" ht="36.0" customHeight="1">
      <c r="A156" s="1"/>
      <c r="B156" s="14" t="s">
        <v>294</v>
      </c>
      <c r="C156" s="15" t="s">
        <v>295</v>
      </c>
      <c r="D156" s="32"/>
      <c r="E156" s="18">
        <f>IF(Tarifas!G123="","",Tarifas!G123)</f>
        <v>25</v>
      </c>
      <c r="F156" s="26" t="str">
        <f t="shared" si="6"/>
        <v/>
      </c>
    </row>
    <row r="157" ht="36.0" customHeight="1">
      <c r="A157" s="1"/>
      <c r="B157" s="27" t="s">
        <v>296</v>
      </c>
      <c r="C157" s="23" t="s">
        <v>297</v>
      </c>
      <c r="D157" s="32"/>
      <c r="E157" s="28">
        <f>IF(Tarifas!G124="","",Tarifas!G124)</f>
        <v>25</v>
      </c>
      <c r="F157" s="29" t="str">
        <f t="shared" si="6"/>
        <v/>
      </c>
    </row>
    <row r="158" ht="36.0" customHeight="1">
      <c r="A158" s="1"/>
      <c r="B158" s="14" t="s">
        <v>298</v>
      </c>
      <c r="C158" s="15" t="s">
        <v>299</v>
      </c>
      <c r="D158" s="32"/>
      <c r="E158" s="18">
        <f>IF(Tarifas!G125="","",Tarifas!G125)</f>
        <v>25</v>
      </c>
      <c r="F158" s="26" t="str">
        <f t="shared" si="6"/>
        <v/>
      </c>
    </row>
    <row r="159" ht="36.0" customHeight="1">
      <c r="A159" s="1"/>
      <c r="B159" s="27" t="s">
        <v>300</v>
      </c>
      <c r="C159" s="23" t="s">
        <v>301</v>
      </c>
      <c r="D159" s="32"/>
      <c r="E159" s="28">
        <f>IF(Tarifas!G126="","",Tarifas!G126)</f>
        <v>25</v>
      </c>
      <c r="F159" s="29" t="str">
        <f t="shared" si="6"/>
        <v/>
      </c>
    </row>
    <row r="160" ht="36.0" customHeight="1">
      <c r="A160" s="1"/>
      <c r="B160" s="14" t="s">
        <v>302</v>
      </c>
      <c r="C160" s="15" t="s">
        <v>303</v>
      </c>
      <c r="D160" s="32"/>
      <c r="E160" s="18">
        <f>IF(Tarifas!G127="","",Tarifas!G127)</f>
        <v>25</v>
      </c>
      <c r="F160" s="26" t="str">
        <f t="shared" si="6"/>
        <v/>
      </c>
    </row>
    <row r="161" ht="36.0" customHeight="1">
      <c r="A161" s="1"/>
      <c r="B161" s="27" t="s">
        <v>304</v>
      </c>
      <c r="C161" s="23" t="s">
        <v>305</v>
      </c>
      <c r="D161" s="32"/>
      <c r="E161" s="28">
        <f>IF(Tarifas!G128="","",Tarifas!G128)</f>
        <v>25</v>
      </c>
      <c r="F161" s="29" t="str">
        <f t="shared" si="6"/>
        <v/>
      </c>
    </row>
    <row r="162" ht="36.0" customHeight="1">
      <c r="A162" s="1"/>
      <c r="B162" s="14" t="s">
        <v>306</v>
      </c>
      <c r="C162" s="15" t="s">
        <v>307</v>
      </c>
      <c r="D162" s="32"/>
      <c r="E162" s="18">
        <f>IF(Tarifas!G129="","",Tarifas!G129)</f>
        <v>25</v>
      </c>
      <c r="F162" s="26" t="str">
        <f t="shared" si="6"/>
        <v/>
      </c>
    </row>
    <row r="163" ht="36.0" customHeight="1">
      <c r="A163" s="1"/>
      <c r="B163" s="27" t="s">
        <v>308</v>
      </c>
      <c r="C163" s="23" t="s">
        <v>309</v>
      </c>
      <c r="D163" s="32"/>
      <c r="E163" s="28">
        <f>IF(Tarifas!G130="","",Tarifas!G130)</f>
        <v>25</v>
      </c>
      <c r="F163" s="29" t="str">
        <f t="shared" si="6"/>
        <v/>
      </c>
    </row>
    <row r="164" ht="36.0" customHeight="1">
      <c r="A164" s="1"/>
      <c r="B164" s="14" t="s">
        <v>310</v>
      </c>
      <c r="C164" s="15" t="s">
        <v>311</v>
      </c>
      <c r="D164" s="32"/>
      <c r="E164" s="18">
        <f>IF(Tarifas!G131="","",Tarifas!G131)</f>
        <v>25</v>
      </c>
      <c r="F164" s="26" t="str">
        <f t="shared" si="6"/>
        <v/>
      </c>
    </row>
    <row r="165" ht="22.5" customHeight="1">
      <c r="A165" s="1"/>
      <c r="B165" s="1"/>
      <c r="C165" s="1"/>
      <c r="D165" s="1"/>
      <c r="E165" s="1"/>
      <c r="F165" s="1"/>
    </row>
    <row r="166" ht="24.0" customHeight="1">
      <c r="A166" s="1"/>
      <c r="B166" s="9" t="s">
        <v>312</v>
      </c>
    </row>
    <row r="167" ht="24.75" customHeight="1">
      <c r="A167" s="1"/>
      <c r="B167" s="13" t="s">
        <v>27</v>
      </c>
      <c r="C167" s="13" t="s">
        <v>28</v>
      </c>
      <c r="D167" s="13" t="s">
        <v>29</v>
      </c>
      <c r="E167" s="13" t="s">
        <v>30</v>
      </c>
      <c r="F167" s="13" t="s">
        <v>31</v>
      </c>
    </row>
    <row r="168" ht="27.0" customHeight="1">
      <c r="A168" s="1"/>
      <c r="B168" s="27" t="s">
        <v>313</v>
      </c>
      <c r="C168" s="23" t="s">
        <v>314</v>
      </c>
      <c r="D168" s="32"/>
      <c r="E168" s="28">
        <f>IF(Tarifas!G132="","",Tarifas!G132)</f>
        <v>29.3</v>
      </c>
      <c r="F168" s="29" t="str">
        <f t="shared" ref="F168:F187" si="7">IF(OR(D168="",D168=0),"",IF(E168="","PENDIENTE",ROUND(D168*E168,2)))</f>
        <v/>
      </c>
    </row>
    <row r="169" ht="27.0" customHeight="1">
      <c r="A169" s="1"/>
      <c r="B169" s="14" t="s">
        <v>315</v>
      </c>
      <c r="C169" s="15" t="s">
        <v>316</v>
      </c>
      <c r="D169" s="32"/>
      <c r="E169" s="18">
        <f>IF(Tarifas!G133="","",Tarifas!G133)</f>
        <v>21.73</v>
      </c>
      <c r="F169" s="26" t="str">
        <f t="shared" si="7"/>
        <v/>
      </c>
    </row>
    <row r="170" ht="27.0" customHeight="1">
      <c r="A170" s="1"/>
      <c r="B170" s="27" t="s">
        <v>317</v>
      </c>
      <c r="C170" s="23" t="s">
        <v>318</v>
      </c>
      <c r="D170" s="32"/>
      <c r="E170" s="28">
        <f>IF(Tarifas!G134="","",Tarifas!G134)</f>
        <v>10.69</v>
      </c>
      <c r="F170" s="29" t="str">
        <f t="shared" si="7"/>
        <v/>
      </c>
    </row>
    <row r="171" ht="27.0" customHeight="1">
      <c r="A171" s="1"/>
      <c r="B171" s="14" t="s">
        <v>319</v>
      </c>
      <c r="C171" s="15" t="s">
        <v>320</v>
      </c>
      <c r="D171" s="32"/>
      <c r="E171" s="18">
        <f>IF(Tarifas!G135="","",Tarifas!G135)</f>
        <v>11.72</v>
      </c>
      <c r="F171" s="26" t="str">
        <f t="shared" si="7"/>
        <v/>
      </c>
    </row>
    <row r="172" ht="27.0" customHeight="1">
      <c r="A172" s="1"/>
      <c r="B172" s="27" t="s">
        <v>321</v>
      </c>
      <c r="C172" s="23" t="s">
        <v>322</v>
      </c>
      <c r="D172" s="32"/>
      <c r="E172" s="28">
        <f>IF(Tarifas!G136="","",Tarifas!G136)</f>
        <v>30.77</v>
      </c>
      <c r="F172" s="29" t="str">
        <f t="shared" si="7"/>
        <v/>
      </c>
    </row>
    <row r="173" ht="27.0" customHeight="1">
      <c r="A173" s="1"/>
      <c r="B173" s="14" t="s">
        <v>323</v>
      </c>
      <c r="C173" s="15" t="s">
        <v>324</v>
      </c>
      <c r="D173" s="32"/>
      <c r="E173" s="18">
        <f>IF(Tarifas!G137="","",Tarifas!G137)</f>
        <v>26.84</v>
      </c>
      <c r="F173" s="26" t="str">
        <f t="shared" si="7"/>
        <v/>
      </c>
    </row>
    <row r="174" ht="27.0" customHeight="1">
      <c r="A174" s="1"/>
      <c r="B174" s="27" t="s">
        <v>325</v>
      </c>
      <c r="C174" s="23" t="s">
        <v>326</v>
      </c>
      <c r="D174" s="32"/>
      <c r="E174" s="28">
        <f>IF(Tarifas!G138="","",Tarifas!G138)</f>
        <v>180.99</v>
      </c>
      <c r="F174" s="29" t="str">
        <f t="shared" si="7"/>
        <v/>
      </c>
    </row>
    <row r="175" ht="27.0" customHeight="1">
      <c r="A175" s="1"/>
      <c r="B175" s="14" t="s">
        <v>327</v>
      </c>
      <c r="C175" s="15" t="s">
        <v>328</v>
      </c>
      <c r="D175" s="32"/>
      <c r="E175" s="18">
        <f>IF(Tarifas!G139="","",Tarifas!G139)</f>
        <v>288.43</v>
      </c>
      <c r="F175" s="26" t="str">
        <f t="shared" si="7"/>
        <v/>
      </c>
    </row>
    <row r="176" ht="27.0" customHeight="1">
      <c r="A176" s="1"/>
      <c r="B176" s="27" t="s">
        <v>329</v>
      </c>
      <c r="C176" s="23" t="s">
        <v>330</v>
      </c>
      <c r="D176" s="32"/>
      <c r="E176" s="28">
        <f>IF(Tarifas!G140="","",Tarifas!G140)</f>
        <v>270.87</v>
      </c>
      <c r="F176" s="29" t="str">
        <f t="shared" si="7"/>
        <v/>
      </c>
    </row>
    <row r="177" ht="27.0" customHeight="1">
      <c r="A177" s="1"/>
      <c r="B177" s="14" t="s">
        <v>331</v>
      </c>
      <c r="C177" s="15" t="s">
        <v>332</v>
      </c>
      <c r="D177" s="32"/>
      <c r="E177" s="18">
        <f>IF(Tarifas!G141="","",Tarifas!G141)</f>
        <v>165.79</v>
      </c>
      <c r="F177" s="26" t="str">
        <f t="shared" si="7"/>
        <v/>
      </c>
    </row>
    <row r="178" ht="27.0" customHeight="1">
      <c r="A178" s="1"/>
      <c r="B178" s="27" t="s">
        <v>333</v>
      </c>
      <c r="C178" s="23" t="s">
        <v>334</v>
      </c>
      <c r="D178" s="32"/>
      <c r="E178" s="28">
        <f>IF(Tarifas!G142="","",Tarifas!G142)</f>
        <v>209.5</v>
      </c>
      <c r="F178" s="29" t="str">
        <f t="shared" si="7"/>
        <v/>
      </c>
    </row>
    <row r="179" ht="27.0" customHeight="1">
      <c r="A179" s="1"/>
      <c r="B179" s="14" t="s">
        <v>335</v>
      </c>
      <c r="C179" s="15" t="s">
        <v>336</v>
      </c>
      <c r="D179" s="32"/>
      <c r="E179" s="18">
        <f>IF(Tarifas!G143="","",Tarifas!G143)</f>
        <v>167.36</v>
      </c>
      <c r="F179" s="26" t="str">
        <f t="shared" si="7"/>
        <v/>
      </c>
    </row>
    <row r="180" ht="27.0" customHeight="1">
      <c r="A180" s="1"/>
      <c r="B180" s="27" t="s">
        <v>337</v>
      </c>
      <c r="C180" s="23" t="s">
        <v>338</v>
      </c>
      <c r="D180" s="32"/>
      <c r="E180" s="28">
        <f>IF(Tarifas!G144="","",Tarifas!G144)</f>
        <v>102.07</v>
      </c>
      <c r="F180" s="29" t="str">
        <f t="shared" si="7"/>
        <v/>
      </c>
    </row>
    <row r="181" ht="27.0" customHeight="1">
      <c r="A181" s="1"/>
      <c r="B181" s="14" t="s">
        <v>339</v>
      </c>
      <c r="C181" s="15" t="s">
        <v>340</v>
      </c>
      <c r="D181" s="32"/>
      <c r="E181" s="18">
        <f>IF(Tarifas!G145="","",Tarifas!G145)</f>
        <v>169.42</v>
      </c>
      <c r="F181" s="26" t="str">
        <f t="shared" si="7"/>
        <v/>
      </c>
    </row>
    <row r="182" ht="27.0" customHeight="1">
      <c r="A182" s="1"/>
      <c r="B182" s="27" t="s">
        <v>341</v>
      </c>
      <c r="C182" s="23" t="s">
        <v>342</v>
      </c>
      <c r="D182" s="32"/>
      <c r="E182" s="28">
        <f>IF(Tarifas!G146="","",Tarifas!G146)</f>
        <v>152.07</v>
      </c>
      <c r="F182" s="29" t="str">
        <f t="shared" si="7"/>
        <v/>
      </c>
    </row>
    <row r="183" ht="27.0" customHeight="1">
      <c r="A183" s="1"/>
      <c r="B183" s="14" t="s">
        <v>343</v>
      </c>
      <c r="C183" s="15" t="s">
        <v>344</v>
      </c>
      <c r="D183" s="32"/>
      <c r="E183" s="18">
        <f>IF(Tarifas!G147="","",Tarifas!G147)</f>
        <v>85.95</v>
      </c>
      <c r="F183" s="26" t="str">
        <f t="shared" si="7"/>
        <v/>
      </c>
    </row>
    <row r="184" ht="27.0" customHeight="1">
      <c r="A184" s="1"/>
      <c r="B184" s="27" t="s">
        <v>345</v>
      </c>
      <c r="C184" s="23" t="s">
        <v>346</v>
      </c>
      <c r="D184" s="32"/>
      <c r="E184" s="28">
        <f>IF(Tarifas!G148="","",Tarifas!G148)</f>
        <v>31.4</v>
      </c>
      <c r="F184" s="29" t="str">
        <f t="shared" si="7"/>
        <v/>
      </c>
    </row>
    <row r="185" ht="27.0" customHeight="1">
      <c r="A185" s="1"/>
      <c r="B185" s="14" t="s">
        <v>347</v>
      </c>
      <c r="C185" s="15" t="s">
        <v>348</v>
      </c>
      <c r="D185" s="32"/>
      <c r="E185" s="18">
        <f>IF(Tarifas!G149="","",Tarifas!G149)</f>
        <v>32.6</v>
      </c>
      <c r="F185" s="26" t="str">
        <f t="shared" si="7"/>
        <v/>
      </c>
    </row>
    <row r="186" ht="27.0" customHeight="1">
      <c r="A186" s="1"/>
      <c r="B186" s="27" t="s">
        <v>349</v>
      </c>
      <c r="C186" s="23" t="s">
        <v>350</v>
      </c>
      <c r="D186" s="32"/>
      <c r="E186" s="28">
        <f>IF(Tarifas!G150="","",Tarifas!G150)</f>
        <v>126.16</v>
      </c>
      <c r="F186" s="29" t="str">
        <f t="shared" si="7"/>
        <v/>
      </c>
    </row>
    <row r="187" ht="27.0" customHeight="1">
      <c r="A187" s="1"/>
      <c r="B187" s="14" t="s">
        <v>351</v>
      </c>
      <c r="C187" s="15" t="s">
        <v>352</v>
      </c>
      <c r="D187" s="32"/>
      <c r="E187" s="18">
        <f>IF(Tarifas!G151="","",Tarifas!G151)</f>
        <v>76.11</v>
      </c>
      <c r="F187" s="26" t="str">
        <f t="shared" si="7"/>
        <v/>
      </c>
    </row>
    <row r="188" ht="22.5" customHeight="1">
      <c r="A188" s="1"/>
      <c r="B188" s="1"/>
      <c r="C188" s="1"/>
      <c r="D188" s="1"/>
      <c r="E188" s="1"/>
      <c r="F188" s="1"/>
    </row>
    <row r="189" ht="24.0" customHeight="1">
      <c r="A189" s="1"/>
      <c r="B189" s="9" t="s">
        <v>353</v>
      </c>
    </row>
    <row r="190" ht="24.75" customHeight="1">
      <c r="A190" s="1"/>
      <c r="B190" s="13" t="s">
        <v>27</v>
      </c>
      <c r="C190" s="13" t="s">
        <v>28</v>
      </c>
      <c r="D190" s="13" t="s">
        <v>29</v>
      </c>
      <c r="E190" s="13" t="s">
        <v>30</v>
      </c>
      <c r="F190" s="13" t="s">
        <v>31</v>
      </c>
    </row>
    <row r="191" ht="27.0" customHeight="1">
      <c r="A191" s="1"/>
      <c r="B191" s="27" t="s">
        <v>354</v>
      </c>
      <c r="C191" s="23" t="s">
        <v>355</v>
      </c>
      <c r="D191" s="32"/>
      <c r="E191" s="28">
        <f>IF(Tarifas!G152="","",Tarifas!G152)</f>
        <v>218.9</v>
      </c>
      <c r="F191" s="29" t="str">
        <f t="shared" ref="F191:F199" si="8">IF(OR(D191="",D191=0),"",IF(E191="","PENDIENTE",ROUND(D191*E191,2)))</f>
        <v/>
      </c>
    </row>
    <row r="192" ht="27.0" customHeight="1">
      <c r="A192" s="1"/>
      <c r="B192" s="14" t="s">
        <v>356</v>
      </c>
      <c r="C192" s="15" t="s">
        <v>357</v>
      </c>
      <c r="D192" s="32"/>
      <c r="E192" s="18">
        <f>IF(Tarifas!G153="","",Tarifas!G153)</f>
        <v>211.46</v>
      </c>
      <c r="F192" s="26" t="str">
        <f t="shared" si="8"/>
        <v/>
      </c>
    </row>
    <row r="193" ht="27.0" customHeight="1">
      <c r="A193" s="1"/>
      <c r="B193" s="27" t="s">
        <v>358</v>
      </c>
      <c r="C193" s="23" t="s">
        <v>359</v>
      </c>
      <c r="D193" s="32"/>
      <c r="E193" s="28">
        <f>IF(Tarifas!G154="","",Tarifas!G154)</f>
        <v>233.36</v>
      </c>
      <c r="F193" s="29" t="str">
        <f t="shared" si="8"/>
        <v/>
      </c>
    </row>
    <row r="194" ht="27.0" customHeight="1">
      <c r="A194" s="1"/>
      <c r="B194" s="14" t="s">
        <v>361</v>
      </c>
      <c r="C194" s="15" t="s">
        <v>362</v>
      </c>
      <c r="D194" s="32"/>
      <c r="E194" s="18">
        <f>IF(Tarifas!G155="","",Tarifas!G155)</f>
        <v>220.55</v>
      </c>
      <c r="F194" s="26" t="str">
        <f t="shared" si="8"/>
        <v/>
      </c>
    </row>
    <row r="195" ht="27.0" customHeight="1">
      <c r="A195" s="1"/>
      <c r="B195" s="27" t="s">
        <v>363</v>
      </c>
      <c r="C195" s="23" t="s">
        <v>364</v>
      </c>
      <c r="D195" s="32"/>
      <c r="E195" s="28">
        <f>IF(Tarifas!G156="","",Tarifas!G156)</f>
        <v>126.65</v>
      </c>
      <c r="F195" s="29" t="str">
        <f t="shared" si="8"/>
        <v/>
      </c>
    </row>
    <row r="196" ht="27.0" customHeight="1">
      <c r="A196" s="1"/>
      <c r="B196" s="14" t="s">
        <v>365</v>
      </c>
      <c r="C196" s="15" t="s">
        <v>366</v>
      </c>
      <c r="D196" s="32"/>
      <c r="E196" s="18">
        <f>IF(Tarifas!G157="","",Tarifas!G157)</f>
        <v>207.44</v>
      </c>
      <c r="F196" s="26" t="str">
        <f t="shared" si="8"/>
        <v/>
      </c>
    </row>
    <row r="197" ht="27.0" customHeight="1">
      <c r="A197" s="1"/>
      <c r="B197" s="27" t="s">
        <v>367</v>
      </c>
      <c r="C197" s="23" t="s">
        <v>368</v>
      </c>
      <c r="D197" s="32"/>
      <c r="E197" s="28">
        <f>IF(Tarifas!G158="","",Tarifas!G158)</f>
        <v>211.05</v>
      </c>
      <c r="F197" s="29" t="str">
        <f t="shared" si="8"/>
        <v/>
      </c>
    </row>
    <row r="198" ht="27.0" customHeight="1">
      <c r="A198" s="1"/>
      <c r="B198" s="14" t="s">
        <v>370</v>
      </c>
      <c r="C198" s="15" t="s">
        <v>371</v>
      </c>
      <c r="D198" s="32"/>
      <c r="E198" s="18">
        <f>IF(Tarifas!G159="","",Tarifas!G159)</f>
        <v>173.06</v>
      </c>
      <c r="F198" s="26" t="str">
        <f t="shared" si="8"/>
        <v/>
      </c>
    </row>
    <row r="199" ht="27.0" customHeight="1">
      <c r="A199" s="1"/>
      <c r="B199" s="27" t="s">
        <v>372</v>
      </c>
      <c r="C199" s="23" t="s">
        <v>373</v>
      </c>
      <c r="D199" s="32"/>
      <c r="E199" s="28">
        <f>IF(Tarifas!G160="","",Tarifas!G160)</f>
        <v>185.45</v>
      </c>
      <c r="F199" s="29" t="str">
        <f t="shared" si="8"/>
        <v/>
      </c>
    </row>
    <row r="200" ht="22.5" customHeight="1">
      <c r="A200" s="1"/>
      <c r="B200" s="1"/>
      <c r="C200" s="1"/>
      <c r="D200" s="1"/>
      <c r="E200" s="1"/>
      <c r="F200" s="1"/>
    </row>
    <row r="201" ht="24.0" customHeight="1">
      <c r="A201" s="1"/>
      <c r="B201" s="9" t="s">
        <v>374</v>
      </c>
    </row>
    <row r="202" ht="24.75" customHeight="1">
      <c r="A202" s="1"/>
      <c r="B202" s="13" t="s">
        <v>27</v>
      </c>
      <c r="C202" s="13" t="s">
        <v>28</v>
      </c>
      <c r="D202" s="13" t="s">
        <v>29</v>
      </c>
      <c r="E202" s="13" t="s">
        <v>30</v>
      </c>
      <c r="F202" s="13" t="s">
        <v>31</v>
      </c>
    </row>
    <row r="203" ht="48.75" customHeight="1">
      <c r="A203" s="1"/>
      <c r="B203" s="14" t="s">
        <v>375</v>
      </c>
      <c r="C203" s="15" t="s">
        <v>376</v>
      </c>
      <c r="D203" s="32"/>
      <c r="E203" s="18">
        <f>IF(Tarifas!G161="","",Tarifas!G161)</f>
        <v>38.13</v>
      </c>
      <c r="F203" s="26" t="str">
        <f t="shared" ref="F203:F207" si="9">IF(OR(D203="",D203=0),"",IF(E203="","PENDIENTE",ROUND(D203*E203,2)))</f>
        <v/>
      </c>
    </row>
    <row r="204" ht="48.75" customHeight="1">
      <c r="A204" s="1"/>
      <c r="B204" s="27" t="s">
        <v>377</v>
      </c>
      <c r="C204" s="23" t="s">
        <v>378</v>
      </c>
      <c r="D204" s="32"/>
      <c r="E204" s="28">
        <f>IF(Tarifas!G162="","",Tarifas!G162)</f>
        <v>52.36</v>
      </c>
      <c r="F204" s="29" t="str">
        <f t="shared" si="9"/>
        <v/>
      </c>
    </row>
    <row r="205" ht="27.0" customHeight="1">
      <c r="A205" s="1"/>
      <c r="B205" s="14" t="s">
        <v>379</v>
      </c>
      <c r="C205" s="15" t="s">
        <v>380</v>
      </c>
      <c r="D205" s="32"/>
      <c r="E205" s="18">
        <f>IF(Tarifas!G163="","",Tarifas!G163)</f>
        <v>36.76</v>
      </c>
      <c r="F205" s="26" t="str">
        <f t="shared" si="9"/>
        <v/>
      </c>
    </row>
    <row r="206" ht="27.0" customHeight="1">
      <c r="A206" s="1"/>
      <c r="B206" s="27" t="s">
        <v>381</v>
      </c>
      <c r="C206" s="23" t="s">
        <v>382</v>
      </c>
      <c r="D206" s="32"/>
      <c r="E206" s="28">
        <f>IF(Tarifas!G164="","",Tarifas!G164)</f>
        <v>16.73</v>
      </c>
      <c r="F206" s="29" t="str">
        <f t="shared" si="9"/>
        <v/>
      </c>
    </row>
    <row r="207" ht="27.0" customHeight="1">
      <c r="A207" s="1"/>
      <c r="B207" s="14" t="s">
        <v>383</v>
      </c>
      <c r="C207" s="15" t="s">
        <v>384</v>
      </c>
      <c r="D207" s="32"/>
      <c r="E207" s="18">
        <f>IF(Tarifas!G165="","",Tarifas!G165)</f>
        <v>49.17</v>
      </c>
      <c r="F207" s="26" t="str">
        <f t="shared" si="9"/>
        <v/>
      </c>
    </row>
    <row r="208" ht="22.5" customHeight="1">
      <c r="A208" s="1"/>
      <c r="B208" s="1"/>
      <c r="C208" s="1"/>
      <c r="D208" s="1"/>
      <c r="E208" s="1"/>
      <c r="F208" s="1"/>
    </row>
    <row r="209" ht="24.0" customHeight="1">
      <c r="A209" s="1"/>
      <c r="B209" s="9" t="s">
        <v>385</v>
      </c>
    </row>
    <row r="210" ht="24.75" customHeight="1">
      <c r="A210" s="1"/>
      <c r="B210" s="13" t="s">
        <v>27</v>
      </c>
      <c r="C210" s="13" t="s">
        <v>28</v>
      </c>
      <c r="D210" s="13" t="s">
        <v>29</v>
      </c>
      <c r="E210" s="13" t="s">
        <v>30</v>
      </c>
      <c r="F210" s="13" t="s">
        <v>31</v>
      </c>
    </row>
    <row r="211" ht="27.0" customHeight="1">
      <c r="A211" s="1"/>
      <c r="B211" s="27" t="s">
        <v>386</v>
      </c>
      <c r="C211" s="23" t="s">
        <v>387</v>
      </c>
      <c r="D211" s="32"/>
      <c r="E211" s="28">
        <f>IF(Tarifas!G166="","",Tarifas!G166)</f>
        <v>15.47</v>
      </c>
      <c r="F211" s="29" t="str">
        <f t="shared" ref="F211:F220" si="10">IF(OR(D211="",D211=0),"",IF(E211="","PENDIENTE",ROUND(D211*E211,2)))</f>
        <v/>
      </c>
    </row>
    <row r="212" ht="27.0" customHeight="1">
      <c r="A212" s="1"/>
      <c r="B212" s="14" t="s">
        <v>388</v>
      </c>
      <c r="C212" s="15" t="s">
        <v>389</v>
      </c>
      <c r="D212" s="32"/>
      <c r="E212" s="18">
        <f>IF(Tarifas!G167="","",Tarifas!G167)</f>
        <v>7.67</v>
      </c>
      <c r="F212" s="26" t="str">
        <f t="shared" si="10"/>
        <v/>
      </c>
    </row>
    <row r="213" ht="27.0" customHeight="1">
      <c r="A213" s="1"/>
      <c r="B213" s="27" t="s">
        <v>390</v>
      </c>
      <c r="C213" s="23" t="s">
        <v>391</v>
      </c>
      <c r="D213" s="32"/>
      <c r="E213" s="28">
        <f>IF(Tarifas!G168="","",Tarifas!G168)</f>
        <v>1.31</v>
      </c>
      <c r="F213" s="29" t="str">
        <f t="shared" si="10"/>
        <v/>
      </c>
    </row>
    <row r="214" ht="27.0" customHeight="1">
      <c r="A214" s="1"/>
      <c r="B214" s="14" t="s">
        <v>392</v>
      </c>
      <c r="C214" s="15" t="s">
        <v>393</v>
      </c>
      <c r="D214" s="32"/>
      <c r="E214" s="18">
        <f>IF(Tarifas!G169="","",Tarifas!G169)</f>
        <v>2.04</v>
      </c>
      <c r="F214" s="26" t="str">
        <f t="shared" si="10"/>
        <v/>
      </c>
    </row>
    <row r="215" ht="36.0" customHeight="1">
      <c r="A215" s="1"/>
      <c r="B215" s="27" t="s">
        <v>394</v>
      </c>
      <c r="C215" s="23" t="s">
        <v>395</v>
      </c>
      <c r="D215" s="32"/>
      <c r="E215" s="28">
        <f>IF(Tarifas!G170="","",Tarifas!G170)</f>
        <v>1.28</v>
      </c>
      <c r="F215" s="29" t="str">
        <f t="shared" si="10"/>
        <v/>
      </c>
    </row>
    <row r="216" ht="36.0" customHeight="1">
      <c r="A216" s="1"/>
      <c r="B216" s="14" t="s">
        <v>396</v>
      </c>
      <c r="C216" s="15" t="s">
        <v>397</v>
      </c>
      <c r="D216" s="32"/>
      <c r="E216" s="18">
        <f>IF(Tarifas!G171="","",Tarifas!G171)</f>
        <v>1.98</v>
      </c>
      <c r="F216" s="26" t="str">
        <f t="shared" si="10"/>
        <v/>
      </c>
    </row>
    <row r="217" ht="27.0" customHeight="1">
      <c r="A217" s="1"/>
      <c r="B217" s="27" t="s">
        <v>398</v>
      </c>
      <c r="C217" s="23" t="s">
        <v>399</v>
      </c>
      <c r="D217" s="32"/>
      <c r="E217" s="28">
        <f>IF(Tarifas!G172="","",Tarifas!G172)</f>
        <v>8.66</v>
      </c>
      <c r="F217" s="29" t="str">
        <f t="shared" si="10"/>
        <v/>
      </c>
    </row>
    <row r="218" ht="36.0" customHeight="1">
      <c r="A218" s="1"/>
      <c r="B218" s="14" t="s">
        <v>401</v>
      </c>
      <c r="C218" s="15" t="s">
        <v>402</v>
      </c>
      <c r="D218" s="32"/>
      <c r="E218" s="18">
        <f>IF(Tarifas!G173="","",Tarifas!G173)</f>
        <v>7.23</v>
      </c>
      <c r="F218" s="26" t="str">
        <f t="shared" si="10"/>
        <v/>
      </c>
    </row>
    <row r="219" ht="36.0" customHeight="1">
      <c r="A219" s="1"/>
      <c r="B219" s="27" t="s">
        <v>403</v>
      </c>
      <c r="C219" s="23" t="s">
        <v>404</v>
      </c>
      <c r="D219" s="32"/>
      <c r="E219" s="28">
        <f>IF(Tarifas!G174="","",Tarifas!G174)</f>
        <v>10.26</v>
      </c>
      <c r="F219" s="29" t="str">
        <f t="shared" si="10"/>
        <v/>
      </c>
    </row>
    <row r="220" ht="27.0" customHeight="1">
      <c r="A220" s="1"/>
      <c r="B220" s="14" t="s">
        <v>405</v>
      </c>
      <c r="C220" s="15" t="s">
        <v>406</v>
      </c>
      <c r="D220" s="32"/>
      <c r="E220" s="18">
        <f>IF(Tarifas!G175="","",Tarifas!G175)</f>
        <v>4.64</v>
      </c>
      <c r="F220" s="26" t="str">
        <f t="shared" si="10"/>
        <v/>
      </c>
    </row>
    <row r="221" ht="22.5" customHeight="1">
      <c r="A221" s="1"/>
      <c r="B221" s="1"/>
      <c r="C221" s="1"/>
      <c r="D221" s="1"/>
      <c r="E221" s="1"/>
      <c r="F221" s="1"/>
    </row>
    <row r="222" ht="24.0" customHeight="1">
      <c r="A222" s="1"/>
      <c r="B222" s="9" t="s">
        <v>407</v>
      </c>
    </row>
    <row r="223" ht="24.75" customHeight="1">
      <c r="A223" s="1"/>
      <c r="B223" s="13" t="s">
        <v>27</v>
      </c>
      <c r="C223" s="13" t="s">
        <v>28</v>
      </c>
      <c r="D223" s="13" t="s">
        <v>29</v>
      </c>
      <c r="E223" s="13" t="s">
        <v>30</v>
      </c>
      <c r="F223" s="13" t="s">
        <v>31</v>
      </c>
    </row>
    <row r="224" ht="27.0" customHeight="1">
      <c r="A224" s="1"/>
      <c r="B224" s="27" t="s">
        <v>408</v>
      </c>
      <c r="C224" s="23" t="s">
        <v>409</v>
      </c>
      <c r="D224" s="32"/>
      <c r="E224" s="28">
        <f>IF(Tarifas!G176="","",Tarifas!G176)</f>
        <v>69.97</v>
      </c>
      <c r="F224" s="29" t="str">
        <f t="shared" ref="F224:F228" si="11">IF(OR(D224="",D224=0),"",IF(E224="","PENDIENTE",ROUND(D224*E224,2)))</f>
        <v/>
      </c>
    </row>
    <row r="225" ht="27.0" customHeight="1">
      <c r="A225" s="1"/>
      <c r="B225" s="14" t="s">
        <v>410</v>
      </c>
      <c r="C225" s="15" t="s">
        <v>411</v>
      </c>
      <c r="D225" s="32"/>
      <c r="E225" s="18">
        <f>IF(Tarifas!G177="","",Tarifas!G177)</f>
        <v>18.23</v>
      </c>
      <c r="F225" s="26" t="str">
        <f t="shared" si="11"/>
        <v/>
      </c>
    </row>
    <row r="226" ht="27.0" customHeight="1">
      <c r="A226" s="1"/>
      <c r="B226" s="27" t="s">
        <v>412</v>
      </c>
      <c r="C226" s="23" t="s">
        <v>413</v>
      </c>
      <c r="D226" s="32"/>
      <c r="E226" s="28">
        <f>IF(Tarifas!G178="","",Tarifas!G178)</f>
        <v>37.85</v>
      </c>
      <c r="F226" s="29" t="str">
        <f t="shared" si="11"/>
        <v/>
      </c>
    </row>
    <row r="227" ht="27.0" customHeight="1">
      <c r="A227" s="1"/>
      <c r="B227" s="14" t="s">
        <v>414</v>
      </c>
      <c r="C227" s="15" t="s">
        <v>415</v>
      </c>
      <c r="D227" s="32"/>
      <c r="E227" s="18">
        <f>IF(Tarifas!G179="","",Tarifas!G179)</f>
        <v>38.27</v>
      </c>
      <c r="F227" s="26" t="str">
        <f t="shared" si="11"/>
        <v/>
      </c>
    </row>
    <row r="228" ht="27.0" customHeight="1">
      <c r="A228" s="1"/>
      <c r="B228" s="27" t="s">
        <v>416</v>
      </c>
      <c r="C228" s="23" t="s">
        <v>417</v>
      </c>
      <c r="D228" s="32"/>
      <c r="E228" s="28">
        <f>IF(Tarifas!G180="","",Tarifas!G180)</f>
        <v>21.03</v>
      </c>
      <c r="F228" s="29" t="str">
        <f t="shared" si="11"/>
        <v/>
      </c>
    </row>
    <row r="229" ht="22.5" customHeight="1">
      <c r="A229" s="1"/>
      <c r="B229" s="1"/>
      <c r="C229" s="1"/>
      <c r="D229" s="1"/>
      <c r="E229" s="1"/>
      <c r="F229" s="1"/>
    </row>
    <row r="230" ht="24.0" customHeight="1">
      <c r="A230" s="1"/>
      <c r="B230" s="9" t="s">
        <v>418</v>
      </c>
    </row>
    <row r="231" ht="24.75" customHeight="1">
      <c r="A231" s="1"/>
      <c r="B231" s="13" t="s">
        <v>27</v>
      </c>
      <c r="C231" s="13" t="s">
        <v>28</v>
      </c>
      <c r="D231" s="13" t="s">
        <v>29</v>
      </c>
      <c r="E231" s="13" t="s">
        <v>30</v>
      </c>
      <c r="F231" s="13" t="s">
        <v>31</v>
      </c>
    </row>
    <row r="232" ht="27.0" customHeight="1">
      <c r="A232" s="1"/>
      <c r="B232" s="14" t="s">
        <v>421</v>
      </c>
      <c r="C232" s="15" t="s">
        <v>422</v>
      </c>
      <c r="D232" s="32"/>
      <c r="E232" s="18">
        <f>IF(Tarifas!G181="","",Tarifas!G181)</f>
        <v>69.82</v>
      </c>
      <c r="F232" s="26" t="str">
        <f t="shared" ref="F232:F244" si="12">IF(OR(D232="",D232=0),"",IF(E232="","PENDIENTE",ROUND(D232*E232,2)))</f>
        <v/>
      </c>
    </row>
    <row r="233" ht="36.0" customHeight="1">
      <c r="A233" s="1"/>
      <c r="B233" s="27" t="s">
        <v>424</v>
      </c>
      <c r="C233" s="23" t="s">
        <v>425</v>
      </c>
      <c r="D233" s="32"/>
      <c r="E233" s="28">
        <f>IF(Tarifas!G182="","",Tarifas!G182)</f>
        <v>25.47</v>
      </c>
      <c r="F233" s="29" t="str">
        <f t="shared" si="12"/>
        <v/>
      </c>
    </row>
    <row r="234" ht="36.0" customHeight="1">
      <c r="A234" s="1"/>
      <c r="B234" s="14" t="s">
        <v>426</v>
      </c>
      <c r="C234" s="15" t="s">
        <v>427</v>
      </c>
      <c r="D234" s="32"/>
      <c r="E234" s="18">
        <f>IF(Tarifas!G183="","",Tarifas!G183)</f>
        <v>58.01</v>
      </c>
      <c r="F234" s="26" t="str">
        <f t="shared" si="12"/>
        <v/>
      </c>
    </row>
    <row r="235" ht="36.0" customHeight="1">
      <c r="A235" s="1"/>
      <c r="B235" s="27" t="s">
        <v>428</v>
      </c>
      <c r="C235" s="23" t="s">
        <v>429</v>
      </c>
      <c r="D235" s="32"/>
      <c r="E235" s="28">
        <f>IF(Tarifas!G184="","",Tarifas!G184)</f>
        <v>55.22</v>
      </c>
      <c r="F235" s="29" t="str">
        <f t="shared" si="12"/>
        <v/>
      </c>
    </row>
    <row r="236" ht="36.0" customHeight="1">
      <c r="A236" s="1"/>
      <c r="B236" s="14" t="s">
        <v>430</v>
      </c>
      <c r="C236" s="15" t="s">
        <v>431</v>
      </c>
      <c r="D236" s="32"/>
      <c r="E236" s="18">
        <f>IF(Tarifas!G185="","",Tarifas!G185)</f>
        <v>85.74</v>
      </c>
      <c r="F236" s="26" t="str">
        <f t="shared" si="12"/>
        <v/>
      </c>
    </row>
    <row r="237" ht="27.0" customHeight="1">
      <c r="A237" s="1"/>
      <c r="B237" s="27" t="s">
        <v>433</v>
      </c>
      <c r="C237" s="23" t="s">
        <v>434</v>
      </c>
      <c r="D237" s="32"/>
      <c r="E237" s="28">
        <f>IF(Tarifas!G186="","",Tarifas!G186)</f>
        <v>2.47</v>
      </c>
      <c r="F237" s="29" t="str">
        <f t="shared" si="12"/>
        <v/>
      </c>
    </row>
    <row r="238" ht="27.0" customHeight="1">
      <c r="A238" s="1"/>
      <c r="B238" s="14" t="s">
        <v>435</v>
      </c>
      <c r="C238" s="15" t="s">
        <v>436</v>
      </c>
      <c r="D238" s="32"/>
      <c r="E238" s="18">
        <f>IF(Tarifas!G187="","",Tarifas!G187)</f>
        <v>11.76</v>
      </c>
      <c r="F238" s="26" t="str">
        <f t="shared" si="12"/>
        <v/>
      </c>
    </row>
    <row r="239" ht="27.0" customHeight="1">
      <c r="A239" s="1"/>
      <c r="B239" s="27" t="s">
        <v>437</v>
      </c>
      <c r="C239" s="23" t="s">
        <v>438</v>
      </c>
      <c r="D239" s="32"/>
      <c r="E239" s="28">
        <f>IF(Tarifas!G188="","",Tarifas!G188)</f>
        <v>41.88</v>
      </c>
      <c r="F239" s="29" t="str">
        <f t="shared" si="12"/>
        <v/>
      </c>
    </row>
    <row r="240" ht="36.0" customHeight="1">
      <c r="A240" s="1"/>
      <c r="B240" s="14" t="s">
        <v>439</v>
      </c>
      <c r="C240" s="15" t="s">
        <v>440</v>
      </c>
      <c r="D240" s="32"/>
      <c r="E240" s="18">
        <f>IF(Tarifas!G189="","",Tarifas!G189)</f>
        <v>9.14</v>
      </c>
      <c r="F240" s="26" t="str">
        <f t="shared" si="12"/>
        <v/>
      </c>
    </row>
    <row r="241" ht="36.0" customHeight="1">
      <c r="A241" s="1"/>
      <c r="B241" s="27" t="s">
        <v>441</v>
      </c>
      <c r="C241" s="23" t="s">
        <v>442</v>
      </c>
      <c r="D241" s="32"/>
      <c r="E241" s="28">
        <f>IF(Tarifas!G190="","",Tarifas!G190)</f>
        <v>14.18</v>
      </c>
      <c r="F241" s="29" t="str">
        <f t="shared" si="12"/>
        <v/>
      </c>
    </row>
    <row r="242" ht="36.0" customHeight="1">
      <c r="A242" s="1"/>
      <c r="B242" s="14" t="s">
        <v>443</v>
      </c>
      <c r="C242" s="15" t="s">
        <v>444</v>
      </c>
      <c r="D242" s="32"/>
      <c r="E242" s="18">
        <f>IF(Tarifas!G191="","",Tarifas!G191)</f>
        <v>49.25</v>
      </c>
      <c r="F242" s="26" t="str">
        <f t="shared" si="12"/>
        <v/>
      </c>
    </row>
    <row r="243" ht="36.0" customHeight="1">
      <c r="A243" s="1"/>
      <c r="B243" s="27" t="s">
        <v>445</v>
      </c>
      <c r="C243" s="23" t="s">
        <v>446</v>
      </c>
      <c r="D243" s="32"/>
      <c r="E243" s="28">
        <f>IF(Tarifas!G192="","",Tarifas!G192)</f>
        <v>61.54</v>
      </c>
      <c r="F243" s="29" t="str">
        <f t="shared" si="12"/>
        <v/>
      </c>
    </row>
    <row r="244" ht="27.0" customHeight="1">
      <c r="A244" s="1"/>
      <c r="B244" s="14" t="s">
        <v>447</v>
      </c>
      <c r="C244" s="15" t="s">
        <v>448</v>
      </c>
      <c r="D244" s="32"/>
      <c r="E244" s="18">
        <f>IF(Tarifas!G193="","",Tarifas!G193)</f>
        <v>31.36</v>
      </c>
      <c r="F244" s="26" t="str">
        <f t="shared" si="12"/>
        <v/>
      </c>
    </row>
    <row r="245" ht="22.5" customHeight="1">
      <c r="A245" s="1"/>
      <c r="B245" s="1"/>
      <c r="C245" s="1"/>
      <c r="D245" s="1"/>
      <c r="E245" s="1"/>
      <c r="F245" s="1"/>
    </row>
    <row r="246" ht="24.0" customHeight="1">
      <c r="A246" s="1"/>
      <c r="B246" s="9" t="s">
        <v>449</v>
      </c>
    </row>
    <row r="247" ht="24.75" customHeight="1">
      <c r="A247" s="1"/>
      <c r="B247" s="13" t="s">
        <v>27</v>
      </c>
      <c r="C247" s="13" t="s">
        <v>28</v>
      </c>
      <c r="D247" s="13" t="s">
        <v>29</v>
      </c>
      <c r="E247" s="13" t="s">
        <v>30</v>
      </c>
      <c r="F247" s="13" t="s">
        <v>31</v>
      </c>
    </row>
    <row r="248" ht="27.0" customHeight="1">
      <c r="A248" s="1"/>
      <c r="B248" s="27" t="s">
        <v>450</v>
      </c>
      <c r="C248" s="23" t="s">
        <v>451</v>
      </c>
      <c r="D248" s="32"/>
      <c r="E248" s="28">
        <f>IF(Tarifas!G194="","",Tarifas!G194)</f>
        <v>15.69</v>
      </c>
      <c r="F248" s="29" t="str">
        <f t="shared" ref="F248:F254" si="13">IF(OR(D248="",D248=0),"",IF(E248="","PENDIENTE",ROUND(D248*E248,2)))</f>
        <v/>
      </c>
    </row>
    <row r="249" ht="36.0" customHeight="1">
      <c r="A249" s="1"/>
      <c r="B249" s="14" t="s">
        <v>452</v>
      </c>
      <c r="C249" s="15" t="s">
        <v>453</v>
      </c>
      <c r="D249" s="32"/>
      <c r="E249" s="18">
        <f>IF(Tarifas!G195="","",Tarifas!G195)</f>
        <v>18.97</v>
      </c>
      <c r="F249" s="26" t="str">
        <f t="shared" si="13"/>
        <v/>
      </c>
    </row>
    <row r="250" ht="48.75" customHeight="1">
      <c r="A250" s="1"/>
      <c r="B250" s="27" t="s">
        <v>455</v>
      </c>
      <c r="C250" s="23" t="s">
        <v>456</v>
      </c>
      <c r="D250" s="32"/>
      <c r="E250" s="28">
        <f>IF(Tarifas!G196="","",Tarifas!G196)</f>
        <v>19.76</v>
      </c>
      <c r="F250" s="29" t="str">
        <f t="shared" si="13"/>
        <v/>
      </c>
    </row>
    <row r="251" ht="27.0" customHeight="1">
      <c r="A251" s="1"/>
      <c r="B251" s="14" t="s">
        <v>457</v>
      </c>
      <c r="C251" s="15" t="s">
        <v>458</v>
      </c>
      <c r="D251" s="32"/>
      <c r="E251" s="18">
        <f>IF(Tarifas!G197="","",Tarifas!G197)</f>
        <v>11.57</v>
      </c>
      <c r="F251" s="26" t="str">
        <f t="shared" si="13"/>
        <v/>
      </c>
    </row>
    <row r="252" ht="27.0" customHeight="1">
      <c r="A252" s="1"/>
      <c r="B252" s="27" t="s">
        <v>459</v>
      </c>
      <c r="C252" s="23" t="s">
        <v>460</v>
      </c>
      <c r="D252" s="32"/>
      <c r="E252" s="28">
        <f>IF(Tarifas!G198="","",Tarifas!G198)</f>
        <v>27.55</v>
      </c>
      <c r="F252" s="29" t="str">
        <f t="shared" si="13"/>
        <v/>
      </c>
    </row>
    <row r="253" ht="27.0" customHeight="1">
      <c r="A253" s="1"/>
      <c r="B253" s="14" t="s">
        <v>461</v>
      </c>
      <c r="C253" s="15" t="s">
        <v>462</v>
      </c>
      <c r="D253" s="32"/>
      <c r="E253" s="18">
        <f>IF(Tarifas!G199="","",Tarifas!G199)</f>
        <v>26.6</v>
      </c>
      <c r="F253" s="26" t="str">
        <f t="shared" si="13"/>
        <v/>
      </c>
    </row>
    <row r="254" ht="27.0" customHeight="1">
      <c r="A254" s="1"/>
      <c r="B254" s="27" t="s">
        <v>463</v>
      </c>
      <c r="C254" s="23" t="s">
        <v>464</v>
      </c>
      <c r="D254" s="32"/>
      <c r="E254" s="28">
        <f>IF(Tarifas!G200="","",Tarifas!G200)</f>
        <v>34.55</v>
      </c>
      <c r="F254" s="29" t="str">
        <f t="shared" si="13"/>
        <v/>
      </c>
    </row>
    <row r="255" ht="22.5" customHeight="1">
      <c r="A255" s="1"/>
      <c r="B255" s="1"/>
      <c r="C255" s="1"/>
      <c r="D255" s="1"/>
      <c r="E255" s="1"/>
      <c r="F255" s="1"/>
    </row>
    <row r="256" ht="24.0" customHeight="1">
      <c r="A256" s="1"/>
      <c r="B256" s="9" t="s">
        <v>467</v>
      </c>
    </row>
    <row r="257" ht="24.75" customHeight="1">
      <c r="A257" s="1"/>
      <c r="B257" s="13" t="s">
        <v>27</v>
      </c>
      <c r="C257" s="13" t="s">
        <v>28</v>
      </c>
      <c r="D257" s="13" t="s">
        <v>29</v>
      </c>
      <c r="E257" s="13" t="s">
        <v>30</v>
      </c>
      <c r="F257" s="13" t="s">
        <v>31</v>
      </c>
    </row>
    <row r="258" ht="27.0" customHeight="1">
      <c r="A258" s="1"/>
      <c r="B258" s="14" t="s">
        <v>468</v>
      </c>
      <c r="C258" s="15" t="s">
        <v>469</v>
      </c>
      <c r="D258" s="32"/>
      <c r="E258" s="18">
        <f>IF(Tarifas!G201="","",Tarifas!G201)</f>
        <v>21.32</v>
      </c>
      <c r="F258" s="26" t="str">
        <f t="shared" ref="F258:F263" si="14">IF(OR(D258="",D258=0),"",IF(E258="","PENDIENTE",ROUND(D258*E258,2)))</f>
        <v/>
      </c>
    </row>
    <row r="259" ht="27.0" customHeight="1">
      <c r="A259" s="1"/>
      <c r="B259" s="27" t="s">
        <v>471</v>
      </c>
      <c r="C259" s="23" t="s">
        <v>472</v>
      </c>
      <c r="D259" s="32"/>
      <c r="E259" s="28">
        <f>IF(Tarifas!G202="","",Tarifas!G202)</f>
        <v>35.07</v>
      </c>
      <c r="F259" s="29" t="str">
        <f t="shared" si="14"/>
        <v/>
      </c>
    </row>
    <row r="260" ht="27.0" customHeight="1">
      <c r="A260" s="1"/>
      <c r="B260" s="14" t="s">
        <v>473</v>
      </c>
      <c r="C260" s="15" t="s">
        <v>474</v>
      </c>
      <c r="D260" s="32"/>
      <c r="E260" s="18">
        <f>IF(Tarifas!G203="","",Tarifas!G203)</f>
        <v>6.79</v>
      </c>
      <c r="F260" s="26" t="str">
        <f t="shared" si="14"/>
        <v/>
      </c>
    </row>
    <row r="261" ht="27.0" customHeight="1">
      <c r="A261" s="1"/>
      <c r="B261" s="27" t="s">
        <v>475</v>
      </c>
      <c r="C261" s="23" t="s">
        <v>476</v>
      </c>
      <c r="D261" s="32"/>
      <c r="E261" s="28">
        <f>IF(Tarifas!G204="","",Tarifas!G204)</f>
        <v>21.34</v>
      </c>
      <c r="F261" s="29" t="str">
        <f t="shared" si="14"/>
        <v/>
      </c>
    </row>
    <row r="262" ht="27.0" customHeight="1">
      <c r="A262" s="1"/>
      <c r="B262" s="14" t="s">
        <v>477</v>
      </c>
      <c r="C262" s="15" t="s">
        <v>478</v>
      </c>
      <c r="D262" s="32"/>
      <c r="E262" s="18">
        <f>IF(Tarifas!G205="","",Tarifas!G205)</f>
        <v>63.17</v>
      </c>
      <c r="F262" s="26" t="str">
        <f t="shared" si="14"/>
        <v/>
      </c>
    </row>
    <row r="263" ht="27.0" customHeight="1">
      <c r="A263" s="1"/>
      <c r="B263" s="27" t="s">
        <v>479</v>
      </c>
      <c r="C263" s="23" t="s">
        <v>480</v>
      </c>
      <c r="D263" s="32"/>
      <c r="E263" s="28">
        <f>IF(Tarifas!G206="","",Tarifas!G206)</f>
        <v>20.04</v>
      </c>
      <c r="F263" s="29" t="str">
        <f t="shared" si="14"/>
        <v/>
      </c>
    </row>
    <row r="264" ht="22.5" customHeight="1">
      <c r="A264" s="1"/>
      <c r="B264" s="1"/>
      <c r="C264" s="1"/>
      <c r="D264" s="1"/>
      <c r="E264" s="1"/>
      <c r="F264" s="1"/>
    </row>
    <row r="265" ht="24.0" customHeight="1">
      <c r="A265" s="1"/>
      <c r="B265" s="9" t="s">
        <v>481</v>
      </c>
    </row>
    <row r="266" ht="24.75" customHeight="1">
      <c r="A266" s="1"/>
      <c r="B266" s="13" t="s">
        <v>27</v>
      </c>
      <c r="C266" s="13" t="s">
        <v>28</v>
      </c>
      <c r="D266" s="13" t="s">
        <v>29</v>
      </c>
      <c r="E266" s="13" t="s">
        <v>30</v>
      </c>
      <c r="F266" s="13" t="s">
        <v>31</v>
      </c>
    </row>
    <row r="267" ht="27.0" customHeight="1">
      <c r="A267" s="1"/>
      <c r="B267" s="14" t="s">
        <v>482</v>
      </c>
      <c r="C267" s="15" t="s">
        <v>483</v>
      </c>
      <c r="D267" s="32"/>
      <c r="E267" s="18">
        <f>IF(Tarifas!G207="","",Tarifas!G207)</f>
        <v>17.4</v>
      </c>
      <c r="F267" s="26" t="str">
        <f t="shared" ref="F267:F270" si="15">IF(OR(D267="",D267=0),"",IF(E267="","PENDIENTE",ROUND(D267*E267,2)))</f>
        <v/>
      </c>
    </row>
    <row r="268" ht="27.0" customHeight="1">
      <c r="A268" s="1"/>
      <c r="B268" s="27" t="s">
        <v>484</v>
      </c>
      <c r="C268" s="23" t="s">
        <v>485</v>
      </c>
      <c r="D268" s="32"/>
      <c r="E268" s="28">
        <f>IF(Tarifas!G208="","",Tarifas!G208)</f>
        <v>86.88</v>
      </c>
      <c r="F268" s="29" t="str">
        <f t="shared" si="15"/>
        <v/>
      </c>
    </row>
    <row r="269" ht="27.0" customHeight="1">
      <c r="A269" s="1"/>
      <c r="B269" s="14" t="s">
        <v>486</v>
      </c>
      <c r="C269" s="15" t="s">
        <v>487</v>
      </c>
      <c r="D269" s="32"/>
      <c r="E269" s="18">
        <f>IF(Tarifas!G209="","",Tarifas!G209)</f>
        <v>31.12</v>
      </c>
      <c r="F269" s="26" t="str">
        <f t="shared" si="15"/>
        <v/>
      </c>
    </row>
    <row r="270" ht="27.0" customHeight="1">
      <c r="A270" s="1"/>
      <c r="B270" s="27" t="s">
        <v>488</v>
      </c>
      <c r="C270" s="23" t="s">
        <v>489</v>
      </c>
      <c r="D270" s="32"/>
      <c r="E270" s="28">
        <f>IF(Tarifas!G210="","",Tarifas!G210)</f>
        <v>15.29</v>
      </c>
      <c r="F270" s="29" t="str">
        <f t="shared" si="15"/>
        <v/>
      </c>
    </row>
    <row r="271" ht="22.5" customHeight="1">
      <c r="A271" s="1"/>
      <c r="B271" s="1"/>
      <c r="C271" s="1"/>
      <c r="D271" s="1"/>
      <c r="E271" s="1"/>
      <c r="F271" s="1"/>
    </row>
    <row r="272" ht="24.0" customHeight="1">
      <c r="A272" s="1"/>
      <c r="B272" s="9" t="s">
        <v>223</v>
      </c>
    </row>
    <row r="273" ht="24.75" customHeight="1">
      <c r="A273" s="1"/>
      <c r="B273" s="13" t="s">
        <v>27</v>
      </c>
      <c r="C273" s="13" t="s">
        <v>28</v>
      </c>
      <c r="D273" s="13" t="s">
        <v>29</v>
      </c>
      <c r="E273" s="13" t="s">
        <v>30</v>
      </c>
      <c r="F273" s="13" t="s">
        <v>31</v>
      </c>
    </row>
    <row r="274" ht="27.0" customHeight="1">
      <c r="A274" s="1"/>
      <c r="B274" s="14" t="s">
        <v>490</v>
      </c>
      <c r="C274" s="15" t="s">
        <v>491</v>
      </c>
      <c r="D274" s="32"/>
      <c r="E274" s="18">
        <f>IF(Tarifas!G211="","",Tarifas!G211)</f>
        <v>127.93</v>
      </c>
      <c r="F274" s="26" t="str">
        <f>IF(OR(D274="",D274=0),"",IF(E274="","PENDIENTE",ROUND(D274*E274,2)))</f>
        <v/>
      </c>
    </row>
    <row r="276" ht="24" customHeight="1">
      <c r="A276" s="1"/>
      <c r="B276" t="str" s="9">
        <v>ForSchool · Windsurf · Packs para escuelas</v>
      </c>
      <c r="C276"/>
      <c r="D276"/>
      <c r="E276"/>
      <c r="F276"/>
    </row>
    <row r="277" ht="24.75" customHeight="1">
      <c r="A277" s="1"/>
      <c r="B277" t="inlineStr" s="13">
        <is>
          <t>SKU</t>
        </is>
      </c>
      <c r="C277" t="inlineStr" s="13">
        <is>
          <t>Nombre</t>
        </is>
      </c>
      <c r="D277" t="inlineStr" s="13">
        <is>
          <t>Cantidad</t>
        </is>
      </c>
      <c r="E277" t="inlineStr" s="13">
        <is>
          <t>Precio sin IVA</t>
        </is>
      </c>
      <c r="F277" t="inlineStr" s="13">
        <is>
          <t>Suma</t>
        </is>
      </c>
    </row>
    <row r="278" ht="27" customHeight="1">
      <c r="A278" s="1"/>
      <c r="B278" t="str" s="14">
        <v>EX900426212</v>
      </c>
      <c r="C278" t="str" s="15">
        <v>Link V5 + Swing ALU · L · 1,0 m² · Rojo</v>
      </c>
      <c r="D278" s="32"/>
      <c r="E278" t="n" s="18">
        <f>IF(Tarifas!G212="","",Tarifas!G212)</f>
        <v>1288.43</v>
      </c>
      <c r="F278" t="str" s="26">
        <f>IF(OR(D278="",D278=0),"",IF(E278="","PENDIENTE",ROUND(D278*E278,2)))</f>
      </c>
    </row>
    <row r="279" ht="27" customHeight="1">
      <c r="A279" s="1"/>
      <c r="B279" t="str" s="27">
        <v>EX900426217</v>
      </c>
      <c r="C279" t="str" s="23">
        <v>Link V5 + Swing ALU · L · 1,5 m² · Naranja</v>
      </c>
      <c r="D279" s="32"/>
      <c r="E279" t="n" s="28">
        <f>IF(Tarifas!G213="","",Tarifas!G213)</f>
        <v>1296.69</v>
      </c>
      <c r="F279" t="str" s="29">
        <f>IF(OR(D279="",D279=0),"",IF(E279="","PENDIENTE",ROUND(D279*E279,2)))</f>
      </c>
    </row>
    <row r="280" ht="27" customHeight="1">
      <c r="A280" s="1"/>
      <c r="B280" t="str" s="14">
        <v>EX900426222</v>
      </c>
      <c r="C280" t="str" s="15">
        <v>Link V5 + Swing ALU · L · 2,0 m² · Azul claro</v>
      </c>
      <c r="D280" s="32"/>
      <c r="E280" t="n" s="18">
        <f>IF(Tarifas!G214="","",Tarifas!G214)</f>
        <v>1313.22</v>
      </c>
      <c r="F280" t="str" s="26">
        <f>IF(OR(D280="",D280=0),"",IF(E280="","PENDIENTE",ROUND(D280*E280,2)))</f>
      </c>
    </row>
    <row r="281" ht="27" customHeight="1">
      <c r="A281" s="1"/>
      <c r="B281" t="str" s="27">
        <v>EX900426227</v>
      </c>
      <c r="C281" t="str" s="23">
        <v>Link V5 + Swing ALU · L · 2,5 m² · Verde claro</v>
      </c>
      <c r="D281" s="32"/>
      <c r="E281" t="n" s="28">
        <f>IF(Tarifas!G215="","",Tarifas!G215)</f>
        <v>1329.75</v>
      </c>
      <c r="F281" t="str" s="29">
        <f>IF(OR(D281="",D281=0),"",IF(E281="","PENDIENTE",ROUND(D281*E281,2)))</f>
      </c>
    </row>
    <row r="282" ht="27" customHeight="1">
      <c r="A282" s="1"/>
      <c r="B282" t="str" s="14">
        <v>EX900424212</v>
      </c>
      <c r="C282" t="str" s="15">
        <v>Link V5 + Swing ALU · M · 1,0 m² · Rojo</v>
      </c>
      <c r="D282" s="32"/>
      <c r="E282" t="n" s="18">
        <f>IF(Tarifas!G216="","",Tarifas!G216)</f>
        <v>1230.58</v>
      </c>
      <c r="F282" t="str" s="26">
        <f>IF(OR(D282="",D282=0),"",IF(E282="","PENDIENTE",ROUND(D282*E282,2)))</f>
      </c>
    </row>
    <row r="283" ht="27" customHeight="1">
      <c r="A283" s="1"/>
      <c r="B283" t="str" s="27">
        <v>EX900424217</v>
      </c>
      <c r="C283" t="str" s="23">
        <v>Link V5 + Swing ALU · M · 1,5 m² · Rojo</v>
      </c>
      <c r="D283" s="32"/>
      <c r="E283" t="n" s="28">
        <f>IF(Tarifas!G217="","",Tarifas!G217)</f>
        <v>1238.84</v>
      </c>
      <c r="F283" t="str" s="29">
        <f>IF(OR(D283="",D283=0),"",IF(E283="","PENDIENTE",ROUND(D283*E283,2)))</f>
      </c>
    </row>
    <row r="284" ht="27" customHeight="1">
      <c r="B284" t="str" s="14">
        <v>EX900424222</v>
      </c>
      <c r="C284" t="str" s="15">
        <v>Link V5 + Swing ALU · M · 2,0 m² · Azul claro</v>
      </c>
      <c r="D284" s="32"/>
      <c r="E284" t="n" s="18">
        <f>IF(Tarifas!G218="","",Tarifas!G218)</f>
        <v>1255.37</v>
      </c>
      <c r="F284" t="str" s="26">
        <f>IF(OR(D284="",D284=0),"",IF(E284="","PENDIENTE",ROUND(D284*E284,2)))</f>
      </c>
    </row>
    <row r="285" ht="27" customHeight="1">
      <c r="B285" t="str" s="27">
        <v>EX900424227</v>
      </c>
      <c r="C285" t="str" s="23">
        <v>Link V5 + Swing ALU · M · 2,5 m² · Verde claro</v>
      </c>
      <c r="D285" s="32"/>
      <c r="E285" t="n" s="28">
        <f>IF(Tarifas!G219="","",Tarifas!G219)</f>
        <v>1271.9</v>
      </c>
      <c r="F285" t="str" s="29">
        <f>IF(OR(D285="",D285=0),"",IF(E285="","PENDIENTE",ROUND(D285*E285,2)))</f>
      </c>
    </row>
    <row r="286" ht="27" customHeight="1">
      <c r="B286" t="str" s="14">
        <v>EX900426230</v>
      </c>
      <c r="C286" t="str" s="15">
        <v>Link V5 + Swing EPX · L · 3,0 m² · Rosa</v>
      </c>
      <c r="D286" s="32"/>
      <c r="E286" t="n" s="18">
        <f>IF(Tarifas!G220="","",Tarifas!G220)</f>
        <v>1371.07</v>
      </c>
      <c r="F286" t="str" s="26">
        <f>IF(OR(D286="",D286=0),"",IF(E286="","PENDIENTE",ROUND(D286*E286,2)))</f>
      </c>
    </row>
    <row r="287" ht="27" customHeight="1">
      <c r="B287" t="str" s="27">
        <v>EX900426235</v>
      </c>
      <c r="C287" t="str" s="23">
        <v>Link V5 + Swing EPX · L · 3,5 m² · Amarillo flúor</v>
      </c>
      <c r="D287" s="32"/>
      <c r="E287" t="n" s="28">
        <f>IF(Tarifas!G221="","",Tarifas!G221)</f>
        <v>1412.4</v>
      </c>
      <c r="F287" t="str" s="29">
        <f>IF(OR(D287="",D287=0),"",IF(E287="","PENDIENTE",ROUND(D287*E287,2)))</f>
      </c>
    </row>
    <row r="288" ht="27" customHeight="1">
      <c r="B288" t="str" s="14">
        <v>EX900426240</v>
      </c>
      <c r="C288" t="str" s="15">
        <v>Link V5 + Swing EPX · L · 4,0 m² · Azul claro</v>
      </c>
      <c r="D288" s="32"/>
      <c r="E288" t="n" s="18">
        <f>IF(Tarifas!G222="","",Tarifas!G222)</f>
        <v>1428.93</v>
      </c>
      <c r="F288" t="str" s="26">
        <f>IF(OR(D288="",D288=0),"",IF(E288="","PENDIENTE",ROUND(D288*E288,2)))</f>
      </c>
    </row>
    <row r="289" ht="27" customHeight="1">
      <c r="B289" t="str" s="27">
        <v>EX900426245</v>
      </c>
      <c r="C289" t="str" s="23">
        <v>Link V5 + Swing EPX · L · 4,5 m² · Naranja</v>
      </c>
      <c r="D289" s="32"/>
      <c r="E289" t="n" s="28">
        <f>IF(Tarifas!G223="","",Tarifas!G223)</f>
        <v>1437.19</v>
      </c>
      <c r="F289" t="str" s="29">
        <f>IF(OR(D289="",D289=0),"",IF(E289="","PENDIENTE",ROUND(D289*E289,2)))</f>
      </c>
    </row>
    <row r="290" ht="27" customHeight="1">
      <c r="B290" t="str" s="14">
        <v>EX900426250</v>
      </c>
      <c r="C290" t="str" s="15">
        <v>Link V5 + Swing EPX · L · 5,0 m² · Blanco</v>
      </c>
      <c r="D290" s="32"/>
      <c r="E290" t="n" s="18">
        <f>IF(Tarifas!G224="","",Tarifas!G224)</f>
        <v>1461.98</v>
      </c>
      <c r="F290" t="str" s="26">
        <f>IF(OR(D290="",D290=0),"",IF(E290="","PENDIENTE",ROUND(D290*E290,2)))</f>
      </c>
    </row>
    <row r="291" ht="27" customHeight="1">
      <c r="B291" t="str" s="27">
        <v>EX900426255</v>
      </c>
      <c r="C291" t="str" s="23">
        <v>Link V5 + Swing EPX · L · 5,5 m² · Rojo</v>
      </c>
      <c r="D291" s="32"/>
      <c r="E291" t="n" s="28">
        <f>IF(Tarifas!G225="","",Tarifas!G225)</f>
        <v>1470.25</v>
      </c>
      <c r="F291" t="str" s="29">
        <f>IF(OR(D291="",D291=0),"",IF(E291="","PENDIENTE",ROUND(D291*E291,2)))</f>
      </c>
    </row>
    <row r="292" ht="27" customHeight="1">
      <c r="B292" t="str" s="14">
        <v>EX900424230</v>
      </c>
      <c r="C292" t="str" s="15">
        <v>Link V5 + Swing EPX · M · 3,0 m² · Rosa</v>
      </c>
      <c r="D292" s="32"/>
      <c r="E292" t="n" s="18">
        <f>IF(Tarifas!G226="","",Tarifas!G226)</f>
        <v>1304.96</v>
      </c>
      <c r="F292" t="str" s="26">
        <f>IF(OR(D292="",D292=0),"",IF(E292="","PENDIENTE",ROUND(D292*E292,2)))</f>
      </c>
    </row>
    <row r="293" ht="27" customHeight="1">
      <c r="B293" t="str" s="27">
        <v>EX900424235</v>
      </c>
      <c r="C293" t="str" s="23">
        <v>Link V5 + Swing EPX · M · 3,5 m² · Amarillo flúor</v>
      </c>
      <c r="D293" s="32"/>
      <c r="E293" t="n" s="28">
        <f>IF(Tarifas!G227="","",Tarifas!G227)</f>
        <v>1354.55</v>
      </c>
      <c r="F293" t="str" s="29">
        <f>IF(OR(D293="",D293=0),"",IF(E293="","PENDIENTE",ROUND(D293*E293,2)))</f>
      </c>
    </row>
    <row r="294" ht="27" customHeight="1">
      <c r="B294" t="str" s="14">
        <v>EX900424240</v>
      </c>
      <c r="C294" t="str" s="15">
        <v>Link V5 + Swing EPX · M · 4,0 m² · Azul claro</v>
      </c>
      <c r="D294" s="32"/>
      <c r="E294" t="n" s="18">
        <f>IF(Tarifas!G228="","",Tarifas!G228)</f>
        <v>1362.81</v>
      </c>
      <c r="F294" t="str" s="26">
        <f>IF(OR(D294="",D294=0),"",IF(E294="","PENDIENTE",ROUND(D294*E294,2)))</f>
      </c>
    </row>
    <row r="295" ht="27" customHeight="1">
      <c r="B295" t="str" s="27">
        <v>EX900424245</v>
      </c>
      <c r="C295" t="str" s="23">
        <v>Link V5 + Swing EPX · M · 4,5 m² · Naranja</v>
      </c>
      <c r="D295" s="32"/>
      <c r="E295" t="n" s="28">
        <f>IF(Tarifas!G229="","",Tarifas!G229)</f>
        <v>1379.34</v>
      </c>
      <c r="F295" t="str" s="29">
        <f>IF(OR(D295="",D295=0),"",IF(E295="","PENDIENTE",ROUND(D295*E295,2)))</f>
      </c>
    </row>
    <row r="296" ht="27" customHeight="1">
      <c r="B296" t="str" s="14">
        <v>EX900424250</v>
      </c>
      <c r="C296" t="str" s="15">
        <v>Link V5 + Swing EPX · M · 5,0 m² · Blanco</v>
      </c>
      <c r="D296" s="32"/>
      <c r="E296" t="n" s="18">
        <f>IF(Tarifas!G230="","",Tarifas!G230)</f>
        <v>1404.13</v>
      </c>
      <c r="F296" t="str" s="26">
        <f>IF(OR(D296="",D296=0),"",IF(E296="","PENDIENTE",ROUND(D296*E296,2)))</f>
      </c>
    </row>
    <row r="297" ht="27" customHeight="1">
      <c r="B297" t="str" s="27">
        <v>EX900424255</v>
      </c>
      <c r="C297" t="str" s="23">
        <v>Link V5 + Swing EPX · M · 5,5 m² · Rojo</v>
      </c>
      <c r="D297" s="32"/>
      <c r="E297" t="n" s="28">
        <f>IF(Tarifas!G231="","",Tarifas!G231)</f>
        <v>1412.4</v>
      </c>
      <c r="F297" t="str" s="29">
        <f>IF(OR(D297="",D297=0),"",IF(E297="","PENDIENTE",ROUND(D297*E297,2)))</f>
      </c>
    </row>
    <row r="298" ht="27" customHeight="1">
      <c r="B298" t="str" s="14">
        <v>EX900426712</v>
      </c>
      <c r="C298" t="str" s="15">
        <v>Link V5 + Experience TR ALU · L · 1,0 m² · Rojo</v>
      </c>
      <c r="D298" s="32"/>
      <c r="E298" t="n" s="18">
        <f>IF(Tarifas!G232="","",Tarifas!G232)</f>
        <v>1304.96</v>
      </c>
      <c r="F298" t="str" s="26">
        <f>IF(OR(D298="",D298=0),"",IF(E298="","PENDIENTE",ROUND(D298*E298,2)))</f>
      </c>
    </row>
    <row r="299" ht="27" customHeight="1">
      <c r="B299" t="str" s="27">
        <v>EX900426717</v>
      </c>
      <c r="C299" t="str" s="23">
        <v>Link V5 + Experience TR ALU · L · 1,5 m² · Naranja</v>
      </c>
      <c r="D299" s="32"/>
      <c r="E299" t="n" s="28">
        <f>IF(Tarifas!G233="","",Tarifas!G233)</f>
        <v>1313.22</v>
      </c>
      <c r="F299" t="str" s="29">
        <f>IF(OR(D299="",D299=0),"",IF(E299="","PENDIENTE",ROUND(D299*E299,2)))</f>
      </c>
    </row>
    <row r="300" ht="27" customHeight="1">
      <c r="B300" t="str" s="14">
        <v>EX900426722</v>
      </c>
      <c r="C300" t="str" s="15">
        <v>Link V5 + Experience TR ALU · L · 2,0 m² · Azul claro</v>
      </c>
      <c r="D300" s="32"/>
      <c r="E300" t="n" s="18">
        <f>IF(Tarifas!G234="","",Tarifas!G234)</f>
        <v>1329.75</v>
      </c>
      <c r="F300" t="str" s="26">
        <f>IF(OR(D300="",D300=0),"",IF(E300="","PENDIENTE",ROUND(D300*E300,2)))</f>
      </c>
    </row>
    <row r="301" ht="27" customHeight="1">
      <c r="B301" t="str" s="27">
        <v>EX900426727</v>
      </c>
      <c r="C301" t="str" s="23">
        <v>Link V5 + Experience TR ALU · L · 2,5 m² · Verde claro</v>
      </c>
      <c r="D301" s="32"/>
      <c r="E301" t="n" s="28">
        <f>IF(Tarifas!G235="","",Tarifas!G235)</f>
        <v>1346.28</v>
      </c>
      <c r="F301" t="str" s="29">
        <f>IF(OR(D301="",D301=0),"",IF(E301="","PENDIENTE",ROUND(D301*E301,2)))</f>
      </c>
    </row>
    <row r="302" ht="27" customHeight="1">
      <c r="B302" t="str" s="14">
        <v>EX900424712</v>
      </c>
      <c r="C302" t="str" s="15">
        <v>Link V5 + Experience TR ALU · M · 1,0 m² · Rojo</v>
      </c>
      <c r="D302" s="32"/>
      <c r="E302" t="n" s="18">
        <f>IF(Tarifas!G236="","",Tarifas!G236)</f>
        <v>1247.11</v>
      </c>
      <c r="F302" t="str" s="26">
        <f>IF(OR(D302="",D302=0),"",IF(E302="","PENDIENTE",ROUND(D302*E302,2)))</f>
      </c>
    </row>
    <row r="303" ht="27" customHeight="1">
      <c r="B303" t="str" s="27">
        <v>EX900424717</v>
      </c>
      <c r="C303" t="str" s="23">
        <v>Link V5 + Experience TR ALU · M · 1,5 m² · Naranja</v>
      </c>
      <c r="D303" s="32"/>
      <c r="E303" t="n" s="28">
        <f>IF(Tarifas!G237="","",Tarifas!G237)</f>
        <v>1255.37</v>
      </c>
      <c r="F303" t="str" s="29">
        <f>IF(OR(D303="",D303=0),"",IF(E303="","PENDIENTE",ROUND(D303*E303,2)))</f>
      </c>
    </row>
    <row r="304" ht="27" customHeight="1">
      <c r="B304" t="str" s="14">
        <v>EX900424722</v>
      </c>
      <c r="C304" t="str" s="15">
        <v>Link V5 + Experience TR ALU · M · 2,0 m² · Azul claro</v>
      </c>
      <c r="D304" s="32"/>
      <c r="E304" t="n" s="18">
        <f>IF(Tarifas!G238="","",Tarifas!G238)</f>
        <v>1271.9</v>
      </c>
      <c r="F304" t="str" s="26">
        <f>IF(OR(D304="",D304=0),"",IF(E304="","PENDIENTE",ROUND(D304*E304,2)))</f>
      </c>
    </row>
    <row r="305" ht="27" customHeight="1">
      <c r="B305" t="str" s="27">
        <v>EX900424727</v>
      </c>
      <c r="C305" t="str" s="23">
        <v>Link V5 + Experience TR ALU · M · 2,5 m² · Verde claro</v>
      </c>
      <c r="D305" s="32"/>
      <c r="E305" t="n" s="28">
        <f>IF(Tarifas!G239="","",Tarifas!G239)</f>
        <v>1288.43</v>
      </c>
      <c r="F305" t="str" s="29">
        <f>IF(OR(D305="",D305=0),"",IF(E305="","PENDIENTE",ROUND(D305*E305,2)))</f>
      </c>
    </row>
    <row r="306" ht="27" customHeight="1">
      <c r="B306" t="str" s="14">
        <v>EX900426730</v>
      </c>
      <c r="C306" t="str" s="15">
        <v>Link V5 + Experience TR EPX · L · 3,0 m² · Rosa</v>
      </c>
      <c r="D306" s="32"/>
      <c r="E306" t="n" s="18">
        <f>IF(Tarifas!G240="","",Tarifas!G240)</f>
        <v>1379.34</v>
      </c>
      <c r="F306" t="str" s="26">
        <f>IF(OR(D306="",D306=0),"",IF(E306="","PENDIENTE",ROUND(D306*E306,2)))</f>
      </c>
    </row>
    <row r="307" ht="35" customHeight="1">
      <c r="B307" t="str" s="27">
        <v>EX900426735</v>
      </c>
      <c r="C307" t="str" s="23">
        <v>Link V5 + Experience TR EPX · L · 3,5 m² · Amarillo flúor</v>
      </c>
      <c r="D307" s="32"/>
      <c r="E307" t="n" s="28">
        <f>IF(Tarifas!G241="","",Tarifas!G241)</f>
        <v>1428.93</v>
      </c>
      <c r="F307" t="str" s="29">
        <f>IF(OR(D307="",D307=0),"",IF(E307="","PENDIENTE",ROUND(D307*E307,2)))</f>
      </c>
    </row>
    <row r="308" ht="27" customHeight="1">
      <c r="B308" t="str" s="14">
        <v>EX900426740</v>
      </c>
      <c r="C308" t="str" s="15">
        <v>Link V5 + Experience TR EPX · L · 4,0 m² · Azul claro</v>
      </c>
      <c r="D308" s="32"/>
      <c r="E308" t="n" s="18">
        <f>IF(Tarifas!G242="","",Tarifas!G242)</f>
        <v>1445.45</v>
      </c>
      <c r="F308" t="str" s="26">
        <f>IF(OR(D308="",D308=0),"",IF(E308="","PENDIENTE",ROUND(D308*E308,2)))</f>
      </c>
    </row>
    <row r="309" ht="27" customHeight="1">
      <c r="B309" t="str" s="27">
        <v>EX900426745</v>
      </c>
      <c r="C309" t="str" s="23">
        <v>Link V5 + Experience TR EPX · L · 4,5 m² · Naranja</v>
      </c>
      <c r="D309" s="32"/>
      <c r="E309" t="n" s="28">
        <f>IF(Tarifas!G243="","",Tarifas!G243)</f>
        <v>1470.25</v>
      </c>
      <c r="F309" t="str" s="29">
        <f>IF(OR(D309="",D309=0),"",IF(E309="","PENDIENTE",ROUND(D309*E309,2)))</f>
      </c>
    </row>
    <row r="310" ht="27" customHeight="1">
      <c r="B310" t="str" s="14">
        <v>EX900426750</v>
      </c>
      <c r="C310" t="str" s="15">
        <v>Link V5 + Experience TR EPX · L · 5,0 m² · Blanco</v>
      </c>
      <c r="D310" s="32"/>
      <c r="E310" t="n" s="18">
        <f>IF(Tarifas!G244="","",Tarifas!G244)</f>
        <v>1503.31</v>
      </c>
      <c r="F310" t="str" s="26">
        <f>IF(OR(D310="",D310=0),"",IF(E310="","PENDIENTE",ROUND(D310*E310,2)))</f>
      </c>
    </row>
    <row r="311" ht="27" customHeight="1">
      <c r="B311" t="str" s="27">
        <v>EX900426755</v>
      </c>
      <c r="C311" t="str" s="23">
        <v>Link V5 + Experience TR EPX · L · 5,5 m² · Rojo</v>
      </c>
      <c r="D311" s="32"/>
      <c r="E311" t="n" s="28">
        <f>IF(Tarifas!G245="","",Tarifas!G245)</f>
        <v>1511.57</v>
      </c>
      <c r="F311" t="str" s="29">
        <f>IF(OR(D311="",D311=0),"",IF(E311="","PENDIENTE",ROUND(D311*E311,2)))</f>
      </c>
    </row>
    <row r="312" ht="27" customHeight="1">
      <c r="B312" t="str" s="14">
        <v>EX900424730</v>
      </c>
      <c r="C312" t="str" s="15">
        <v>Link V5 + Experience TR EPX · M · 3,0 m² · Rosa</v>
      </c>
      <c r="D312" s="32"/>
      <c r="E312" t="n" s="18">
        <f>IF(Tarifas!G246="","",Tarifas!G246)</f>
        <v>1321.49</v>
      </c>
      <c r="F312" t="str" s="26">
        <f>IF(OR(D312="",D312=0),"",IF(E312="","PENDIENTE",ROUND(D312*E312,2)))</f>
      </c>
    </row>
    <row r="313" ht="35" customHeight="1">
      <c r="B313" t="str" s="27">
        <v>EX900424735</v>
      </c>
      <c r="C313" t="str" s="23">
        <v>Link V5 + Experience TR EPX · M · 3,5 m² · Amarillo flúor</v>
      </c>
      <c r="D313" s="32"/>
      <c r="E313" t="n" s="28">
        <f>IF(Tarifas!G247="","",Tarifas!G247)</f>
        <v>1362.81</v>
      </c>
      <c r="F313" t="str" s="29">
        <f>IF(OR(D313="",D313=0),"",IF(E313="","PENDIENTE",ROUND(D313*E313,2)))</f>
      </c>
    </row>
    <row r="314" ht="27" customHeight="1">
      <c r="B314" t="str" s="14">
        <v>EX900424740</v>
      </c>
      <c r="C314" t="str" s="15">
        <v>Link V5 + Experience TR EPX · M · 4,0 m² · Azul claro</v>
      </c>
      <c r="D314" s="32"/>
      <c r="E314" t="n" s="18">
        <f>IF(Tarifas!G248="","",Tarifas!G248)</f>
        <v>1387.6</v>
      </c>
      <c r="F314" t="str" s="26">
        <f>IF(OR(D314="",D314=0),"",IF(E314="","PENDIENTE",ROUND(D314*E314,2)))</f>
      </c>
    </row>
    <row r="315" ht="27" customHeight="1">
      <c r="B315" t="str" s="27">
        <v>EX900424745</v>
      </c>
      <c r="C315" t="str" s="23">
        <v>Link V5 + Experience TR EPX · M · 4,5 m² · Naranja</v>
      </c>
      <c r="D315" s="32"/>
      <c r="E315" t="n" s="28">
        <f>IF(Tarifas!G249="","",Tarifas!G249)</f>
        <v>1412.4</v>
      </c>
      <c r="F315" t="str" s="29">
        <f>IF(OR(D315="",D315=0),"",IF(E315="","PENDIENTE",ROUND(D315*E315,2)))</f>
      </c>
    </row>
    <row r="316" ht="27" customHeight="1">
      <c r="B316" t="str" s="14">
        <v>EX900424750</v>
      </c>
      <c r="C316" t="str" s="15">
        <v>Link V5 + Experience TR EPX · M · 5,0 m² · Blanco</v>
      </c>
      <c r="D316" s="32"/>
      <c r="E316" t="n" s="18">
        <f>IF(Tarifas!G250="","",Tarifas!G250)</f>
        <v>1437.19</v>
      </c>
      <c r="F316" t="str" s="26">
        <f>IF(OR(D316="",D316=0),"",IF(E316="","PENDIENTE",ROUND(D316*E316,2)))</f>
      </c>
    </row>
    <row r="317" ht="27" customHeight="1">
      <c r="B317" t="str" s="27">
        <v>EX900424755</v>
      </c>
      <c r="C317" t="str" s="23">
        <v>Link V5 + Experience TR EPX · M · 5,5 m² · Rojo</v>
      </c>
      <c r="D317" s="32"/>
      <c r="E317" t="n" s="28">
        <f>IF(Tarifas!G251="","",Tarifas!G251)</f>
        <v>1453.72</v>
      </c>
      <c r="F317" t="str" s="29">
        <f>IF(OR(D317="",D317=0),"",IF(E317="","PENDIENTE",ROUND(D317*E317,2)))</f>
      </c>
    </row>
    <row r="318" ht="27" customHeight="1">
      <c r="B318" t="str" s="14">
        <v>EX900140725</v>
      </c>
      <c r="C318" t="str" s="15">
        <v>Neon + Experience TR EPX · HP · 2,5 m²</v>
      </c>
      <c r="D318" s="32"/>
      <c r="E318" t="n" s="18">
        <f>IF(Tarifas!G252="","",Tarifas!G252)</f>
        <v>800.83</v>
      </c>
      <c r="F318" t="str" s="26">
        <f>IF(OR(D318="",D318=0),"",IF(E318="","PENDIENTE",ROUND(D318*E318,2)))</f>
      </c>
    </row>
    <row r="319" ht="27" customHeight="1">
      <c r="B319" t="str" s="27">
        <v>EX900140735</v>
      </c>
      <c r="C319" t="str" s="23">
        <v>Neon + Experience TR EPX · HP · 3,5 m²</v>
      </c>
      <c r="D319" s="32"/>
      <c r="E319" t="n" s="28">
        <f>IF(Tarifas!G253="","",Tarifas!G253)</f>
        <v>850.41</v>
      </c>
      <c r="F319" t="str" s="29">
        <f>IF(OR(D319="",D319=0),"",IF(E319="","PENDIENTE",ROUND(D319*E319,2)))</f>
      </c>
    </row>
    <row r="320" ht="27" customHeight="1">
      <c r="B320" t="str" s="14">
        <v>EX900140745</v>
      </c>
      <c r="C320" t="str" s="15">
        <v>Neon + Experience TR EPX · HP · 4,5 m²</v>
      </c>
      <c r="D320" s="32"/>
      <c r="E320" t="n" s="18">
        <f>IF(Tarifas!G254="","",Tarifas!G254)</f>
        <v>900</v>
      </c>
      <c r="F320" t="str" s="26">
        <f>IF(OR(D320="",D320=0),"",IF(E320="","PENDIENTE",ROUND(D320*E320,2)))</f>
      </c>
    </row>
    <row r="321" ht="27" customHeight="1">
      <c r="B321" t="str" s="27">
        <v>EX900130725</v>
      </c>
      <c r="C321" t="str" s="23">
        <v>Neon + Experience TR EPX · SL · 2,5 m²</v>
      </c>
      <c r="D321" s="32"/>
      <c r="E321" t="n" s="28">
        <f>IF(Tarifas!G255="","",Tarifas!G255)</f>
        <v>693.39</v>
      </c>
      <c r="F321" t="str" s="29">
        <f>IF(OR(D321="",D321=0),"",IF(E321="","PENDIENTE",ROUND(D321*E321,2)))</f>
      </c>
    </row>
    <row r="322" ht="27" customHeight="1">
      <c r="B322" t="str" s="14">
        <v>EX900130735</v>
      </c>
      <c r="C322" t="str" s="15">
        <v>Neon + Experience TR EPX · SL · 3,5 m²</v>
      </c>
      <c r="D322" s="32"/>
      <c r="E322" t="n" s="18">
        <f>IF(Tarifas!G256="","",Tarifas!G256)</f>
        <v>742.98</v>
      </c>
      <c r="F322" t="str" s="26">
        <f>IF(OR(D322="",D322=0),"",IF(E322="","PENDIENTE",ROUND(D322*E322,2)))</f>
      </c>
    </row>
    <row r="323" ht="27" customHeight="1">
      <c r="B323" t="str" s="27">
        <v>EX900130745</v>
      </c>
      <c r="C323" t="str" s="23">
        <v>Neon + Experience TR EPX · SL · 4,5 m²</v>
      </c>
      <c r="D323" s="32"/>
      <c r="E323" t="n" s="28">
        <f>IF(Tarifas!G257="","",Tarifas!G257)</f>
        <v>784.3</v>
      </c>
      <c r="F323" t="str" s="29">
        <f>IF(OR(D323="",D323=0),"",IF(E323="","PENDIENTE",ROUND(D323*E323,2)))</f>
      </c>
    </row>
    <row r="325" ht="24" customHeight="1">
      <c r="B325" t="str" s="9">
        <v>ForSchool · Windsurf · Tablas de enseñanza</v>
      </c>
      <c r="C325"/>
      <c r="D325"/>
      <c r="E325"/>
      <c r="F325"/>
    </row>
    <row r="326" ht="24.75" customHeight="1">
      <c r="B326" t="inlineStr" s="13">
        <is>
          <t>SKU</t>
        </is>
      </c>
      <c r="C326" t="inlineStr" s="13">
        <is>
          <t>Nombre</t>
        </is>
      </c>
      <c r="D326" t="inlineStr" s="13">
        <is>
          <t>Cantidad</t>
        </is>
      </c>
      <c r="E326" t="inlineStr" s="13">
        <is>
          <t>Precio sin IVA</t>
        </is>
      </c>
      <c r="F326" t="inlineStr" s="13">
        <is>
          <t>Suma</t>
        </is>
      </c>
    </row>
    <row r="327" ht="27" customHeight="1">
      <c r="B327" t="str" s="27">
        <v>EX010191010</v>
      </c>
      <c r="C327" t="str" s="23">
        <v>Exocet Link V5 AST · Link V5 AST M · 2026</v>
      </c>
      <c r="D327" s="32"/>
      <c r="E327" t="n" s="28">
        <f>IF(Tarifas!G258="","",Tarifas!G258)</f>
        <v>1114.88</v>
      </c>
      <c r="F327" t="str" s="29">
        <f>IF(OR(D327="",D327=0),"",IF(E327="","PENDIENTE",ROUND(D327*E327,2)))</f>
      </c>
    </row>
    <row r="328" ht="27" customHeight="1">
      <c r="B328" t="str" s="14">
        <v>EX010191020</v>
      </c>
      <c r="C328" t="str" s="15">
        <v>Exocet Link V5 AST · Link V5 AST L · 2026</v>
      </c>
      <c r="D328" s="32"/>
      <c r="E328" t="n" s="18">
        <f>IF(Tarifas!G259="","",Tarifas!G259)</f>
        <v>1180.99</v>
      </c>
      <c r="F328" t="str" s="26">
        <f>IF(OR(D328="",D328=0),"",IF(E328="","PENDIENTE",ROUND(D328*E328,2)))</f>
      </c>
    </row>
    <row r="329" ht="27" customHeight="1">
      <c r="B329" t="str" s="27">
        <v>EX010192015</v>
      </c>
      <c r="C329" t="str" s="23">
        <v>Exocet Link V5 AST · Link V5 With Wheel AST M · 2026</v>
      </c>
      <c r="D329" s="32"/>
      <c r="E329" t="n" s="28">
        <f>IF(Tarifas!G260="","",Tarifas!G260)</f>
        <v>1197.52</v>
      </c>
      <c r="F329" t="str" s="29">
        <f>IF(OR(D329="",D329=0),"",IF(E329="","PENDIENTE",ROUND(D329*E329,2)))</f>
      </c>
    </row>
    <row r="330" ht="27" customHeight="1">
      <c r="B330" t="str" s="14">
        <v>EX010192025</v>
      </c>
      <c r="C330" t="str" s="15">
        <v>Exocet Link V5 AST · Link V5 With Wheel AST L · 2026</v>
      </c>
      <c r="D330" s="32"/>
      <c r="E330" t="n" s="18">
        <f>IF(Tarifas!G261="","",Tarifas!G261)</f>
        <v>1263.64</v>
      </c>
      <c r="F330" t="str" s="26">
        <f>IF(OR(D330="",D330=0),"",IF(E330="","PENDIENTE",ROUND(D330*E330,2)))</f>
      </c>
    </row>
    <row r="331" ht="27" customHeight="1">
      <c r="B331" t="str" s="27">
        <v>UF079012250</v>
      </c>
      <c r="C331" t="str" s="23">
        <v>Unifiber Rookie II 225 · Rookie II 225 With Daggerboard</v>
      </c>
      <c r="D331" s="32"/>
      <c r="E331" t="n" s="28">
        <f>IF(Tarifas!G262="","",Tarifas!G262)</f>
        <v>990.91</v>
      </c>
      <c r="F331" t="str" s="29">
        <f>IF(OR(D331="",D331=0),"",IF(E331="","PENDIENTE",ROUND(D331*E331,2)))</f>
      </c>
    </row>
    <row r="332" ht="27" customHeight="1">
      <c r="B332" t="str" s="14">
        <v>AR01531</v>
      </c>
      <c r="C332" t="str" s="15">
        <v>Exocet Link V4 AST · Link V4 AST S · 2025</v>
      </c>
      <c r="D332" s="32"/>
      <c r="E332" t="n" s="18">
        <f>IF(Tarifas!G263="","",Tarifas!G263)</f>
        <v>825.62</v>
      </c>
      <c r="F332" t="str" s="26">
        <f>IF(OR(D332="",D332=0),"",IF(E332="","PENDIENTE",ROUND(D332*E332,2)))</f>
      </c>
    </row>
    <row r="333" ht="27" customHeight="1">
      <c r="B333" t="str" s="27">
        <v>AR01532</v>
      </c>
      <c r="C333" t="str" s="23">
        <v>Exocet Link V4 AST · Link V4 AST M · 2025</v>
      </c>
      <c r="D333" s="32"/>
      <c r="E333" t="n" s="28">
        <f>IF(Tarifas!G264="","",Tarifas!G264)</f>
        <v>949.59</v>
      </c>
      <c r="F333" t="str" s="29">
        <f>IF(OR(D333="",D333=0),"",IF(E333="","PENDIENTE",ROUND(D333*E333,2)))</f>
      </c>
    </row>
    <row r="334" ht="27" customHeight="1">
      <c r="B334" t="str" s="14">
        <v>AR01533</v>
      </c>
      <c r="C334" t="str" s="15">
        <v>Exocet Link V4 AST · Link V4 AST L · 2025</v>
      </c>
      <c r="D334" s="32"/>
      <c r="E334" t="n" s="18">
        <f>IF(Tarifas!G265="","",Tarifas!G265)</f>
        <v>990.91</v>
      </c>
      <c r="F334" t="str" s="26">
        <f>IF(OR(D334="",D334=0),"",IF(E334="","PENDIENTE",ROUND(D334*E334,2)))</f>
      </c>
    </row>
    <row r="335" ht="27" customHeight="1">
      <c r="B335" t="str" s="27">
        <v>AR01534</v>
      </c>
      <c r="C335" t="str" s="23">
        <v>Exocet Link V4 AST · Link V4 AST XL · 2025</v>
      </c>
      <c r="D335" s="32"/>
      <c r="E335" t="n" s="28">
        <f>IF(Tarifas!G266="","",Tarifas!G266)</f>
        <v>1032.23</v>
      </c>
      <c r="F335" t="str" s="29">
        <f>IF(OR(D335="",D335=0),"",IF(E335="","PENDIENTE",ROUND(D335*E335,2)))</f>
      </c>
    </row>
    <row r="336" ht="27" customHeight="1">
      <c r="B336" t="str" s="14">
        <v>AR01536</v>
      </c>
      <c r="C336" t="str" s="15">
        <v>Exocet Link V4 AST · Link V4 With Wheel AST M · 2025</v>
      </c>
      <c r="D336" s="32"/>
      <c r="E336" t="n" s="18">
        <f>IF(Tarifas!G267="","",Tarifas!G267)</f>
        <v>1032.23</v>
      </c>
      <c r="F336" t="str" s="26">
        <f>IF(OR(D336="",D336=0),"",IF(E336="","PENDIENTE",ROUND(D336*E336,2)))</f>
      </c>
    </row>
    <row r="337" ht="27" customHeight="1">
      <c r="B337" t="str" s="27">
        <v>AR01537</v>
      </c>
      <c r="C337" t="str" s="23">
        <v>Exocet Link V4 AST · Link V4 With Wheel AST L · 2025</v>
      </c>
      <c r="D337" s="32"/>
      <c r="E337" t="n" s="28">
        <f>IF(Tarifas!G268="","",Tarifas!G268)</f>
        <v>1073.55</v>
      </c>
      <c r="F337" t="str" s="29">
        <f>IF(OR(D337="",D337=0),"",IF(E337="","PENDIENTE",ROUND(D337*E337,2)))</f>
      </c>
    </row>
    <row r="338" ht="27" customHeight="1">
      <c r="B338" t="str" s="14">
        <v>AR01538</v>
      </c>
      <c r="C338" t="str" s="15">
        <v>Exocet Link V4 AST · Link V4 With Wheel AST XL · 2025</v>
      </c>
      <c r="D338" s="32"/>
      <c r="E338" t="n" s="18">
        <f>IF(Tarifas!G269="","",Tarifas!G269)</f>
        <v>1114.88</v>
      </c>
      <c r="F338" t="str" s="26">
        <f>IF(OR(D338="",D338=0),"",IF(E338="","PENDIENTE",ROUND(D338*E338,2)))</f>
      </c>
    </row>
    <row r="339" ht="27" customHeight="1">
      <c r="B339" t="str" s="27">
        <v>EX010190030</v>
      </c>
      <c r="C339" t="str" s="23">
        <v>Exocet Nano V4 AST 155D · Nano V4 Daggerboard AST 155</v>
      </c>
      <c r="D339" s="32"/>
      <c r="E339" t="n" s="28">
        <f>IF(Tarifas!G270="","",Tarifas!G270)</f>
        <v>1321.49</v>
      </c>
      <c r="F339" t="str" s="29">
        <f>IF(OR(D339="",D339=0),"",IF(E339="","PENDIENTE",ROUND(D339*E339,2)))</f>
      </c>
    </row>
    <row r="340" ht="27" customHeight="1">
      <c r="B340" t="str" s="14">
        <v>EX020020500</v>
      </c>
      <c r="C340" t="str" s="15">
        <v>Exocet Neon SL / HP · Neon SL Inflatable Windsurf 15 PSI</v>
      </c>
      <c r="D340" s="32"/>
      <c r="E340" t="n" s="18">
        <f>IF(Tarifas!G271="","",Tarifas!G271)</f>
        <v>371.07</v>
      </c>
      <c r="F340" t="str" s="26">
        <f>IF(OR(D340="",D340=0),"",IF(E340="","PENDIENTE",ROUND(D340*E340,2)))</f>
      </c>
    </row>
    <row r="341" ht="27" customHeight="1">
      <c r="B341" t="str" s="27">
        <v>EX020020600</v>
      </c>
      <c r="C341" t="str" s="23">
        <v>Exocet Neon SL / HP · Neon HP Inflatable Windsurf 20 PSI</v>
      </c>
      <c r="D341" s="32"/>
      <c r="E341" t="n" s="28">
        <f>IF(Tarifas!G272="","",Tarifas!G272)</f>
        <v>495.04</v>
      </c>
      <c r="F341" t="str" s="29">
        <f>IF(OR(D341="",D341=0),"",IF(E341="","PENDIENTE",ROUND(D341*E341,2)))</f>
      </c>
    </row>
    <row r="343" ht="24" customHeight="1">
      <c r="B343" t="str" s="9">
        <v>ForSchool · Windsurf · Aparejos completos</v>
      </c>
      <c r="C343"/>
      <c r="D343"/>
      <c r="E343"/>
      <c r="F343"/>
    </row>
    <row r="344" ht="24.75" customHeight="1">
      <c r="B344" t="inlineStr" s="13">
        <is>
          <t>SKU</t>
        </is>
      </c>
      <c r="C344" t="inlineStr" s="13">
        <is>
          <t>Nombre</t>
        </is>
      </c>
      <c r="D344" t="inlineStr" s="13">
        <is>
          <t>Cantidad</t>
        </is>
      </c>
      <c r="E344" t="inlineStr" s="13">
        <is>
          <t>Precio sin IVA</t>
        </is>
      </c>
      <c r="F344" t="inlineStr" s="13">
        <is>
          <t>Suma</t>
        </is>
      </c>
    </row>
    <row r="345" ht="27" customHeight="1">
      <c r="B345" t="str" s="27">
        <v>XO080010010</v>
      </c>
      <c r="C345" t="str" s="23">
        <v>XO Swing Dacron ALU · 1,0 m² · Rojo</v>
      </c>
      <c r="D345" s="32"/>
      <c r="E345" t="n" s="28">
        <f>IF(Tarifas!G273="","",Tarifas!G273)</f>
        <v>255.37</v>
      </c>
      <c r="F345" t="str" s="29">
        <f>IF(OR(D345="",D345=0),"",IF(E345="","PENDIENTE",ROUND(D345*E345,2)))</f>
      </c>
    </row>
    <row r="346" ht="27" customHeight="1">
      <c r="B346" t="str" s="14">
        <v>XO080010015</v>
      </c>
      <c r="C346" t="str" s="15">
        <v>XO Swing Dacron ALU · 1,5 m² · Naranja</v>
      </c>
      <c r="D346" s="32"/>
      <c r="E346" t="n" s="18">
        <f>IF(Tarifas!G274="","",Tarifas!G274)</f>
        <v>263.64</v>
      </c>
      <c r="F346" t="str" s="26">
        <f>IF(OR(D346="",D346=0),"",IF(E346="","PENDIENTE",ROUND(D346*E346,2)))</f>
      </c>
    </row>
    <row r="347" ht="27" customHeight="1">
      <c r="B347" t="str" s="27">
        <v>XO080010020</v>
      </c>
      <c r="C347" t="str" s="23">
        <v>XO Swing Dacron ALU · 2,0 m² · Azul claro</v>
      </c>
      <c r="D347" s="32"/>
      <c r="E347" t="n" s="28">
        <f>IF(Tarifas!G275="","",Tarifas!G275)</f>
        <v>280.17</v>
      </c>
      <c r="F347" t="str" s="29">
        <f>IF(OR(D347="",D347=0),"",IF(E347="","PENDIENTE",ROUND(D347*E347,2)))</f>
      </c>
    </row>
    <row r="348" ht="27" customHeight="1">
      <c r="B348" t="str" s="14">
        <v>XO080010025</v>
      </c>
      <c r="C348" t="str" s="15">
        <v>XO Swing Dacron ALU · 2,5 m² · Verde claro</v>
      </c>
      <c r="D348" s="32"/>
      <c r="E348" t="n" s="18">
        <f>IF(Tarifas!G276="","",Tarifas!G276)</f>
        <v>296.69</v>
      </c>
      <c r="F348" t="str" s="26">
        <f>IF(OR(D348="",D348=0),"",IF(E348="","PENDIENTE",ROUND(D348*E348,2)))</f>
      </c>
    </row>
    <row r="349" ht="27" customHeight="1">
      <c r="B349" t="str" s="27">
        <v>XO080011010</v>
      </c>
      <c r="C349" t="str" s="23">
        <v>XO Swing Dacron EPX · 1,0 m² · Rojo</v>
      </c>
      <c r="D349" s="32"/>
      <c r="E349" t="n" s="28">
        <f>IF(Tarifas!G277="","",Tarifas!G277)</f>
        <v>280.17</v>
      </c>
      <c r="F349" t="str" s="29">
        <f>IF(OR(D349="",D349=0),"",IF(E349="","PENDIENTE",ROUND(D349*E349,2)))</f>
      </c>
    </row>
    <row r="350" ht="27" customHeight="1">
      <c r="B350" t="str" s="14">
        <v>XO080011015</v>
      </c>
      <c r="C350" t="str" s="15">
        <v>XO Swing Dacron EPX · 1,5 m² · Naranja</v>
      </c>
      <c r="D350" s="32"/>
      <c r="E350" t="n" s="18">
        <f>IF(Tarifas!G278="","",Tarifas!G278)</f>
        <v>296.69</v>
      </c>
      <c r="F350" t="str" s="26">
        <f>IF(OR(D350="",D350=0),"",IF(E350="","PENDIENTE",ROUND(D350*E350,2)))</f>
      </c>
    </row>
    <row r="351" ht="27" customHeight="1">
      <c r="B351" t="str" s="27">
        <v>XO080011020</v>
      </c>
      <c r="C351" t="str" s="23">
        <v>XO Swing Dacron EPX · 2,0 m² · Azul claro</v>
      </c>
      <c r="D351" s="32"/>
      <c r="E351" t="n" s="28">
        <f>IF(Tarifas!G279="","",Tarifas!G279)</f>
        <v>313.22</v>
      </c>
      <c r="F351" t="str" s="29">
        <f>IF(OR(D351="",D351=0),"",IF(E351="","PENDIENTE",ROUND(D351*E351,2)))</f>
      </c>
    </row>
    <row r="352" ht="27" customHeight="1">
      <c r="B352" t="str" s="14">
        <v>XO080011025</v>
      </c>
      <c r="C352" t="str" s="15">
        <v>XO Swing Dacron EPX · 2,5 m² · Verde claro</v>
      </c>
      <c r="D352" s="32"/>
      <c r="E352" t="n" s="18">
        <f>IF(Tarifas!G280="","",Tarifas!G280)</f>
        <v>329.75</v>
      </c>
      <c r="F352" t="str" s="26">
        <f>IF(OR(D352="",D352=0),"",IF(E352="","PENDIENTE",ROUND(D352*E352,2)))</f>
      </c>
    </row>
    <row r="353" ht="27" customHeight="1">
      <c r="B353" t="str" s="27">
        <v>XO080011030</v>
      </c>
      <c r="C353" t="str" s="23">
        <v>XO Swing Dacron EPX · 3,0 m² · Rosa</v>
      </c>
      <c r="D353" s="32"/>
      <c r="E353" t="n" s="28">
        <f>IF(Tarifas!G281="","",Tarifas!G281)</f>
        <v>338.02</v>
      </c>
      <c r="F353" t="str" s="29">
        <f>IF(OR(D353="",D353=0),"",IF(E353="","PENDIENTE",ROUND(D353*E353,2)))</f>
      </c>
    </row>
    <row r="354" ht="27" customHeight="1">
      <c r="B354" t="str" s="14">
        <v>XO080011035</v>
      </c>
      <c r="C354" t="str" s="15">
        <v>XO Swing Dacron EPX · 3,5 m² · Amarillo flúor</v>
      </c>
      <c r="D354" s="32"/>
      <c r="E354" t="n" s="18">
        <f>IF(Tarifas!G282="","",Tarifas!G282)</f>
        <v>387.6</v>
      </c>
      <c r="F354" t="str" s="26">
        <f>IF(OR(D354="",D354=0),"",IF(E354="","PENDIENTE",ROUND(D354*E354,2)))</f>
      </c>
    </row>
    <row r="355" ht="27" customHeight="1">
      <c r="B355" t="str" s="27">
        <v>XO080011040</v>
      </c>
      <c r="C355" t="str" s="23">
        <v>XO Swing Dacron EPX · 4,0 m² · Azul claro</v>
      </c>
      <c r="D355" s="32"/>
      <c r="E355" t="n" s="28">
        <f>IF(Tarifas!G283="","",Tarifas!G283)</f>
        <v>404.13</v>
      </c>
      <c r="F355" t="str" s="29">
        <f>IF(OR(D355="",D355=0),"",IF(E355="","PENDIENTE",ROUND(D355*E355,2)))</f>
      </c>
    </row>
    <row r="356" ht="27" customHeight="1">
      <c r="B356" t="str" s="14">
        <v>XO080011045</v>
      </c>
      <c r="C356" t="str" s="15">
        <v>XO Swing Dacron EPX · 4,5 m² · Naranja</v>
      </c>
      <c r="D356" s="32"/>
      <c r="E356" t="n" s="18">
        <f>IF(Tarifas!G284="","",Tarifas!G284)</f>
        <v>420.66</v>
      </c>
      <c r="F356" t="str" s="26">
        <f>IF(OR(D356="",D356=0),"",IF(E356="","PENDIENTE",ROUND(D356*E356,2)))</f>
      </c>
    </row>
    <row r="357" ht="27" customHeight="1">
      <c r="B357" t="str" s="27">
        <v>XO080011050</v>
      </c>
      <c r="C357" t="str" s="23">
        <v>XO Swing Dacron EPX · 5,0 m² · Blanco</v>
      </c>
      <c r="D357" s="32"/>
      <c r="E357" t="n" s="28">
        <f>IF(Tarifas!G285="","",Tarifas!G285)</f>
        <v>445.45</v>
      </c>
      <c r="F357" t="str" s="29">
        <f>IF(OR(D357="",D357=0),"",IF(E357="","PENDIENTE",ROUND(D357*E357,2)))</f>
      </c>
    </row>
    <row r="358" ht="27" customHeight="1">
      <c r="B358" t="str" s="14">
        <v>XO080011055</v>
      </c>
      <c r="C358" t="str" s="15">
        <v>XO Swing Dacron EPX · 5,5 m² · Rojo</v>
      </c>
      <c r="D358" s="32"/>
      <c r="E358" t="n" s="18">
        <f>IF(Tarifas!G286="","",Tarifas!G286)</f>
        <v>453.72</v>
      </c>
      <c r="F358" t="str" s="26">
        <f>IF(OR(D358="",D358=0),"",IF(E358="","PENDIENTE",ROUND(D358*E358,2)))</f>
      </c>
    </row>
    <row r="359" ht="27" customHeight="1">
      <c r="B359" t="str" s="27">
        <v>XO080020010</v>
      </c>
      <c r="C359" t="str" s="23">
        <v>XO Experience TR Dacron ALU · 1,0 m² · Rojo</v>
      </c>
      <c r="D359" s="32"/>
      <c r="E359" t="n" s="28">
        <f>IF(Tarifas!G287="","",Tarifas!G287)</f>
        <v>271.9</v>
      </c>
      <c r="F359" t="str" s="29">
        <f>IF(OR(D359="",D359=0),"",IF(E359="","PENDIENTE",ROUND(D359*E359,2)))</f>
      </c>
    </row>
    <row r="360" ht="27" customHeight="1">
      <c r="B360" t="str" s="14">
        <v>XO080020015</v>
      </c>
      <c r="C360" t="str" s="15">
        <v>XO Experience TR Dacron ALU · 1,5 m² · Naranja</v>
      </c>
      <c r="D360" s="32"/>
      <c r="E360" t="n" s="18">
        <f>IF(Tarifas!G288="","",Tarifas!G288)</f>
        <v>280.17</v>
      </c>
      <c r="F360" t="str" s="26">
        <f>IF(OR(D360="",D360=0),"",IF(E360="","PENDIENTE",ROUND(D360*E360,2)))</f>
      </c>
    </row>
    <row r="361" ht="27" customHeight="1">
      <c r="B361" t="str" s="27">
        <v>XO080020020</v>
      </c>
      <c r="C361" t="str" s="23">
        <v>XO Experience TR Dacron ALU · 2,0 m² · Azul claro</v>
      </c>
      <c r="D361" s="32"/>
      <c r="E361" t="n" s="28">
        <f>IF(Tarifas!G289="","",Tarifas!G289)</f>
        <v>296.69</v>
      </c>
      <c r="F361" t="str" s="29">
        <f>IF(OR(D361="",D361=0),"",IF(E361="","PENDIENTE",ROUND(D361*E361,2)))</f>
      </c>
    </row>
    <row r="362" ht="27" customHeight="1">
      <c r="B362" t="str" s="14">
        <v>XO080020025</v>
      </c>
      <c r="C362" t="str" s="15">
        <v>XO Experience TR Dacron ALU · 2,5 m² · Verde claro</v>
      </c>
      <c r="D362" s="32"/>
      <c r="E362" t="n" s="18">
        <f>IF(Tarifas!G290="","",Tarifas!G290)</f>
        <v>313.22</v>
      </c>
      <c r="F362" t="str" s="26">
        <f>IF(OR(D362="",D362=0),"",IF(E362="","PENDIENTE",ROUND(D362*E362,2)))</f>
      </c>
    </row>
    <row r="363" ht="27" customHeight="1">
      <c r="B363" t="str" s="27">
        <v>XO080021010</v>
      </c>
      <c r="C363" t="str" s="23">
        <v>XO Experience TR Dacron EPX · 1,0 m² · Rojo</v>
      </c>
      <c r="D363" s="32"/>
      <c r="E363" t="n" s="28">
        <f>IF(Tarifas!G291="","",Tarifas!G291)</f>
        <v>296.69</v>
      </c>
      <c r="F363" t="str" s="29">
        <f>IF(OR(D363="",D363=0),"",IF(E363="","PENDIENTE",ROUND(D363*E363,2)))</f>
      </c>
    </row>
    <row r="364" ht="27" customHeight="1">
      <c r="B364" t="str" s="14">
        <v>XO080021015</v>
      </c>
      <c r="C364" t="str" s="15">
        <v>XO Experience TR Dacron EPX · 1,5 m² · Naranja</v>
      </c>
      <c r="D364" s="32"/>
      <c r="E364" t="n" s="18">
        <f>IF(Tarifas!G292="","",Tarifas!G292)</f>
        <v>313.22</v>
      </c>
      <c r="F364" t="str" s="26">
        <f>IF(OR(D364="",D364=0),"",IF(E364="","PENDIENTE",ROUND(D364*E364,2)))</f>
      </c>
    </row>
    <row r="365" ht="27" customHeight="1">
      <c r="B365" t="str" s="27">
        <v>XO080021020</v>
      </c>
      <c r="C365" t="str" s="23">
        <v>XO Experience TR Dacron EPX · 2,0 m² · Azul claro</v>
      </c>
      <c r="D365" s="32"/>
      <c r="E365" t="n" s="28">
        <f>IF(Tarifas!G293="","",Tarifas!G293)</f>
        <v>329.75</v>
      </c>
      <c r="F365" t="str" s="29">
        <f>IF(OR(D365="",D365=0),"",IF(E365="","PENDIENTE",ROUND(D365*E365,2)))</f>
      </c>
    </row>
    <row r="366" ht="27" customHeight="1">
      <c r="B366" t="str" s="14">
        <v>XO080021025</v>
      </c>
      <c r="C366" t="str" s="15">
        <v>XO Experience TR Dacron EPX · 2,5 m² · Verde claro</v>
      </c>
      <c r="D366" s="32"/>
      <c r="E366" t="n" s="18">
        <f>IF(Tarifas!G294="","",Tarifas!G294)</f>
        <v>346.28</v>
      </c>
      <c r="F366" t="str" s="26">
        <f>IF(OR(D366="",D366=0),"",IF(E366="","PENDIENTE",ROUND(D366*E366,2)))</f>
      </c>
    </row>
    <row r="367" ht="27" customHeight="1">
      <c r="B367" t="str" s="27">
        <v>XO080021030</v>
      </c>
      <c r="C367" t="str" s="23">
        <v>XO Experience TR Dacron EPX · 3,0 m² · Rosa</v>
      </c>
      <c r="D367" s="32"/>
      <c r="E367" t="n" s="28">
        <f>IF(Tarifas!G295="","",Tarifas!G295)</f>
        <v>354.55</v>
      </c>
      <c r="F367" t="str" s="29">
        <f>IF(OR(D367="",D367=0),"",IF(E367="","PENDIENTE",ROUND(D367*E367,2)))</f>
      </c>
    </row>
    <row r="368" ht="27" customHeight="1">
      <c r="B368" t="str" s="14">
        <v>XO080021035</v>
      </c>
      <c r="C368" t="str" s="15">
        <v>XO Experience TR Dacron EPX · 3,5 m² · Amarillo flúor</v>
      </c>
      <c r="D368" s="32"/>
      <c r="E368" t="n" s="18">
        <f>IF(Tarifas!G296="","",Tarifas!G296)</f>
        <v>404.13</v>
      </c>
      <c r="F368" t="str" s="26">
        <f>IF(OR(D368="",D368=0),"",IF(E368="","PENDIENTE",ROUND(D368*E368,2)))</f>
      </c>
    </row>
    <row r="369" ht="27" customHeight="1">
      <c r="B369" t="str" s="27">
        <v>XO080021040</v>
      </c>
      <c r="C369" t="str" s="23">
        <v>XO Experience TR Dacron EPX · 4,0 m² · Azul claro</v>
      </c>
      <c r="D369" s="32"/>
      <c r="E369" t="n" s="28">
        <f>IF(Tarifas!G297="","",Tarifas!G297)</f>
        <v>428.93</v>
      </c>
      <c r="F369" t="str" s="29">
        <f>IF(OR(D369="",D369=0),"",IF(E369="","PENDIENTE",ROUND(D369*E369,2)))</f>
      </c>
    </row>
    <row r="370" ht="27" customHeight="1">
      <c r="B370" t="str" s="14">
        <v>XO080021045</v>
      </c>
      <c r="C370" t="str" s="15">
        <v>XO Experience TR Dacron EPX · 4,5 m² · Naranja</v>
      </c>
      <c r="D370" s="32"/>
      <c r="E370" t="n" s="18">
        <f>IF(Tarifas!G298="","",Tarifas!G298)</f>
        <v>453.72</v>
      </c>
      <c r="F370" t="str" s="26">
        <f>IF(OR(D370="",D370=0),"",IF(E370="","PENDIENTE",ROUND(D370*E370,2)))</f>
      </c>
    </row>
    <row r="371" ht="27" customHeight="1">
      <c r="B371" t="str" s="27">
        <v>XO080021050</v>
      </c>
      <c r="C371" t="str" s="23">
        <v>XO Experience TR Dacron EPX · 5,0 m² · Blanco</v>
      </c>
      <c r="D371" s="32"/>
      <c r="E371" t="n" s="28">
        <f>IF(Tarifas!G299="","",Tarifas!G299)</f>
        <v>486.78</v>
      </c>
      <c r="F371" t="str" s="29">
        <f>IF(OR(D371="",D371=0),"",IF(E371="","PENDIENTE",ROUND(D371*E371,2)))</f>
      </c>
    </row>
    <row r="372" ht="27" customHeight="1">
      <c r="B372" t="str" s="14">
        <v>XO080021055</v>
      </c>
      <c r="C372" t="str" s="15">
        <v>XO Experience TR Dacron EPX · 5,5 m² · Rojo</v>
      </c>
      <c r="D372" s="32"/>
      <c r="E372" t="n" s="18">
        <f>IF(Tarifas!G300="","",Tarifas!G300)</f>
        <v>503.31</v>
      </c>
      <c r="F372" t="str" s="26">
        <f>IF(OR(D372="",D372=0),"",IF(E372="","PENDIENTE",ROUND(D372*E372,2)))</f>
      </c>
    </row>
    <row r="373" ht="27" customHeight="1">
      <c r="B373" t="str" s="27">
        <v>XO080011047</v>
      </c>
      <c r="C373" t="str" s="23">
        <v>XO Swing EPX Compact · 4,5 m² · Naranja</v>
      </c>
      <c r="D373" s="32"/>
      <c r="E373" t="n" s="28">
        <f>IF(Tarifas!G301="","",Tarifas!G301)</f>
        <v>461.98</v>
      </c>
      <c r="F373" t="str" s="29">
        <f>IF(OR(D373="",D373=0),"",IF(E373="","PENDIENTE",ROUND(D373*E373,2)))</f>
      </c>
    </row>
    <row r="374" ht="27" customHeight="1">
      <c r="B374" t="str" s="14">
        <v>XO080011057</v>
      </c>
      <c r="C374" t="str" s="15">
        <v>XO Swing EPX Compact · 5,5 m² · Rojo</v>
      </c>
      <c r="D374" s="32"/>
      <c r="E374" t="n" s="18">
        <f>IF(Tarifas!G302="","",Tarifas!G302)</f>
        <v>486.78</v>
      </c>
      <c r="F374" t="str" s="26">
        <f>IF(OR(D374="",D374=0),"",IF(E374="","PENDIENTE",ROUND(D374*E374,2)))</f>
      </c>
    </row>
    <row r="375" ht="27" customHeight="1">
      <c r="B375" t="str" s="27">
        <v>XO080030010</v>
      </c>
      <c r="C375" t="str" s="23">
        <v>XO Rookie Monofilm ALU / EPX · ALU · 1,0 m²</v>
      </c>
      <c r="D375" s="32"/>
      <c r="E375" t="n" s="28">
        <f>IF(Tarifas!G303="","",Tarifas!G303)</f>
        <v>280.17</v>
      </c>
      <c r="F375" t="str" s="29">
        <f>IF(OR(D375="",D375=0),"",IF(E375="","PENDIENTE",ROUND(D375*E375,2)))</f>
      </c>
    </row>
    <row r="376" ht="27" customHeight="1">
      <c r="B376" t="str" s="14">
        <v>XO080030015</v>
      </c>
      <c r="C376" t="str" s="15">
        <v>XO Rookie Monofilm ALU / EPX · ALU · 1,5 m²</v>
      </c>
      <c r="D376" s="32"/>
      <c r="E376" t="n" s="18">
        <f>IF(Tarifas!G304="","",Tarifas!G304)</f>
        <v>288.43</v>
      </c>
      <c r="F376" t="str" s="26">
        <f>IF(OR(D376="",D376=0),"",IF(E376="","PENDIENTE",ROUND(D376*E376,2)))</f>
      </c>
    </row>
    <row r="377" ht="27" customHeight="1">
      <c r="B377" t="str" s="27">
        <v>XO080030020</v>
      </c>
      <c r="C377" t="str" s="23">
        <v>XO Rookie Monofilm ALU / EPX · ALU · 2,0 m²</v>
      </c>
      <c r="D377" s="32"/>
      <c r="E377" t="n" s="28">
        <f>IF(Tarifas!G305="","",Tarifas!G305)</f>
        <v>304.96</v>
      </c>
      <c r="F377" t="str" s="29">
        <f>IF(OR(D377="",D377=0),"",IF(E377="","PENDIENTE",ROUND(D377*E377,2)))</f>
      </c>
    </row>
    <row r="378" ht="27" customHeight="1">
      <c r="B378" t="str" s="14">
        <v>XO080030025</v>
      </c>
      <c r="C378" t="str" s="15">
        <v>XO Rookie Monofilm ALU / EPX · ALU · 2,5 m²</v>
      </c>
      <c r="D378" s="32"/>
      <c r="E378" t="n" s="18">
        <f>IF(Tarifas!G306="","",Tarifas!G306)</f>
        <v>321.49</v>
      </c>
      <c r="F378" t="str" s="26">
        <f>IF(OR(D378="",D378=0),"",IF(E378="","PENDIENTE",ROUND(D378*E378,2)))</f>
      </c>
    </row>
    <row r="379" ht="27" customHeight="1">
      <c r="B379" t="str" s="27">
        <v>XO080031010</v>
      </c>
      <c r="C379" t="str" s="23">
        <v>XO Rookie Monofilm ALU / EPX · EPX · 1,0 m²</v>
      </c>
      <c r="D379" s="32"/>
      <c r="E379" t="n" s="28">
        <f>IF(Tarifas!G307="","",Tarifas!G307)</f>
        <v>304.96</v>
      </c>
      <c r="F379" t="str" s="29">
        <f>IF(OR(D379="",D379=0),"",IF(E379="","PENDIENTE",ROUND(D379*E379,2)))</f>
      </c>
    </row>
    <row r="380" ht="27" customHeight="1">
      <c r="B380" t="str" s="14">
        <v>XO080031015</v>
      </c>
      <c r="C380" t="str" s="15">
        <v>XO Rookie Monofilm ALU / EPX · EPX · 1,5 m²</v>
      </c>
      <c r="D380" s="32"/>
      <c r="E380" t="n" s="18">
        <f>IF(Tarifas!G308="","",Tarifas!G308)</f>
        <v>321.49</v>
      </c>
      <c r="F380" t="str" s="26">
        <f>IF(OR(D380="",D380=0),"",IF(E380="","PENDIENTE",ROUND(D380*E380,2)))</f>
      </c>
    </row>
    <row r="381" ht="27" customHeight="1">
      <c r="B381" t="str" s="27">
        <v>XO080031020</v>
      </c>
      <c r="C381" t="str" s="23">
        <v>XO Rookie Monofilm ALU / EPX · EPX · 2,0 m²</v>
      </c>
      <c r="D381" s="32"/>
      <c r="E381" t="n" s="28">
        <f>IF(Tarifas!G309="","",Tarifas!G309)</f>
        <v>338.02</v>
      </c>
      <c r="F381" t="str" s="29">
        <f>IF(OR(D381="",D381=0),"",IF(E381="","PENDIENTE",ROUND(D381*E381,2)))</f>
      </c>
    </row>
    <row r="382" ht="27" customHeight="1">
      <c r="B382" t="str" s="14">
        <v>XO080031025</v>
      </c>
      <c r="C382" t="str" s="15">
        <v>XO Rookie Monofilm ALU / EPX · EPX · 2,5 m²</v>
      </c>
      <c r="D382" s="32"/>
      <c r="E382" t="n" s="18">
        <f>IF(Tarifas!G310="","",Tarifas!G310)</f>
        <v>354.55</v>
      </c>
      <c r="F382" t="str" s="26">
        <f>IF(OR(D382="",D382=0),"",IF(E382="","PENDIENTE",ROUND(D382*E382,2)))</f>
      </c>
    </row>
    <row r="383" ht="27" customHeight="1">
      <c r="B383" t="str" s="27">
        <v>XO080031030</v>
      </c>
      <c r="C383" t="str" s="23">
        <v>XO Rookie Monofilm ALU / EPX · EPX · 3,0 m²</v>
      </c>
      <c r="D383" s="32"/>
      <c r="E383" t="n" s="28">
        <f>IF(Tarifas!G311="","",Tarifas!G311)</f>
        <v>362.81</v>
      </c>
      <c r="F383" t="str" s="29">
        <f>IF(OR(D383="",D383=0),"",IF(E383="","PENDIENTE",ROUND(D383*E383,2)))</f>
      </c>
    </row>
    <row r="384" ht="27" customHeight="1">
      <c r="B384" t="str" s="14">
        <v>XO080031035</v>
      </c>
      <c r="C384" t="str" s="15">
        <v>XO Rookie Monofilm ALU / EPX · EPX · 3,5 m²</v>
      </c>
      <c r="D384" s="32"/>
      <c r="E384" t="n" s="18">
        <f>IF(Tarifas!G312="","",Tarifas!G312)</f>
        <v>412.4</v>
      </c>
      <c r="F384" t="str" s="26">
        <f>IF(OR(D384="",D384=0),"",IF(E384="","PENDIENTE",ROUND(D384*E384,2)))</f>
      </c>
    </row>
    <row r="386" ht="24" customHeight="1">
      <c r="B386" t="str" s="9">
        <v>ForSchool · Windsurf · Velas de reposición</v>
      </c>
      <c r="C386"/>
      <c r="D386"/>
      <c r="E386"/>
      <c r="F386"/>
    </row>
    <row r="387" ht="24.75" customHeight="1">
      <c r="B387" t="inlineStr" s="13">
        <is>
          <t>SKU</t>
        </is>
      </c>
      <c r="C387" t="inlineStr" s="13">
        <is>
          <t>Nombre</t>
        </is>
      </c>
      <c r="D387" t="inlineStr" s="13">
        <is>
          <t>Cantidad</t>
        </is>
      </c>
      <c r="E387" t="inlineStr" s="13">
        <is>
          <t>Precio sin IVA</t>
        </is>
      </c>
      <c r="F387" t="inlineStr" s="13">
        <is>
          <t>Suma</t>
        </is>
      </c>
    </row>
    <row r="388" ht="27" customHeight="1">
      <c r="B388" t="str" s="14">
        <v>XO101010010</v>
      </c>
      <c r="C388" t="str" s="15">
        <v>XO Swing Dacron · 1,0 m² · Rojo</v>
      </c>
      <c r="D388" s="32"/>
      <c r="E388" t="n" s="18">
        <f>IF(Tarifas!G313="","",Tarifas!G313)</f>
        <v>114.88</v>
      </c>
      <c r="F388" t="str" s="26">
        <f>IF(OR(D388="",D388=0),"",IF(E388="","PENDIENTE",ROUND(D388*E388,2)))</f>
      </c>
    </row>
    <row r="389" ht="27" customHeight="1">
      <c r="B389" t="str" s="27">
        <v>XO101010015</v>
      </c>
      <c r="C389" t="str" s="23">
        <v>XO Swing Dacron · 1,5 m² · Naranja</v>
      </c>
      <c r="D389" s="32"/>
      <c r="E389" t="n" s="28">
        <f>IF(Tarifas!G314="","",Tarifas!G314)</f>
        <v>123.14</v>
      </c>
      <c r="F389" t="str" s="29">
        <f>IF(OR(D389="",D389=0),"",IF(E389="","PENDIENTE",ROUND(D389*E389,2)))</f>
      </c>
    </row>
    <row r="390" ht="27" customHeight="1">
      <c r="B390" t="str" s="14">
        <v>XO101010020</v>
      </c>
      <c r="C390" t="str" s="15">
        <v>XO Swing Dacron · 2,0 m² · Azul claro</v>
      </c>
      <c r="D390" s="32"/>
      <c r="E390" t="n" s="18">
        <f>IF(Tarifas!G315="","",Tarifas!G315)</f>
        <v>131.41</v>
      </c>
      <c r="F390" t="str" s="26">
        <f>IF(OR(D390="",D390=0),"",IF(E390="","PENDIENTE",ROUND(D390*E390,2)))</f>
      </c>
    </row>
    <row r="391" ht="27" customHeight="1">
      <c r="B391" t="str" s="27">
        <v>XO101010030</v>
      </c>
      <c r="C391" t="str" s="23">
        <v>XO Swing Dacron · 2,5 m² · Verde claro</v>
      </c>
      <c r="D391" s="32"/>
      <c r="E391" t="n" s="28">
        <f>IF(Tarifas!G316="","",Tarifas!G316)</f>
        <v>139.67</v>
      </c>
      <c r="F391" t="str" s="29">
        <f>IF(OR(D391="",D391=0),"",IF(E391="","PENDIENTE",ROUND(D391*E391,2)))</f>
      </c>
    </row>
    <row r="392" ht="27" customHeight="1">
      <c r="B392" t="str" s="14">
        <v>XO101010040</v>
      </c>
      <c r="C392" t="str" s="15">
        <v>XO Swing Dacron · 3,0 m² · Rosa</v>
      </c>
      <c r="D392" s="32"/>
      <c r="E392" t="n" s="18">
        <f>IF(Tarifas!G317="","",Tarifas!G317)</f>
        <v>147.93</v>
      </c>
      <c r="F392" t="str" s="26">
        <f>IF(OR(D392="",D392=0),"",IF(E392="","PENDIENTE",ROUND(D392*E392,2)))</f>
      </c>
    </row>
    <row r="393" ht="27" customHeight="1">
      <c r="B393" t="str" s="27">
        <v>XO101010050</v>
      </c>
      <c r="C393" t="str" s="23">
        <v>XO Swing Dacron · 3,5 m² · Amarillo flúor</v>
      </c>
      <c r="D393" s="32"/>
      <c r="E393" t="n" s="28">
        <f>IF(Tarifas!G318="","",Tarifas!G318)</f>
        <v>156.2</v>
      </c>
      <c r="F393" t="str" s="29">
        <f>IF(OR(D393="",D393=0),"",IF(E393="","PENDIENTE",ROUND(D393*E393,2)))</f>
      </c>
    </row>
    <row r="394" ht="27" customHeight="1">
      <c r="B394" t="str" s="14">
        <v>XO101010060</v>
      </c>
      <c r="C394" t="str" s="15">
        <v>XO Swing Dacron · 4,0 m² · Azul claro</v>
      </c>
      <c r="D394" s="32"/>
      <c r="E394" t="n" s="18">
        <f>IF(Tarifas!G319="","",Tarifas!G319)</f>
        <v>164.46</v>
      </c>
      <c r="F394" t="str" s="26">
        <f>IF(OR(D394="",D394=0),"",IF(E394="","PENDIENTE",ROUND(D394*E394,2)))</f>
      </c>
    </row>
    <row r="395" ht="27" customHeight="1">
      <c r="B395" t="str" s="27">
        <v>XO101010070</v>
      </c>
      <c r="C395" t="str" s="23">
        <v>XO Swing Dacron · 4,5 m² · Naranja</v>
      </c>
      <c r="D395" s="32"/>
      <c r="E395" t="n" s="28">
        <f>IF(Tarifas!G320="","",Tarifas!G320)</f>
        <v>172.73</v>
      </c>
      <c r="F395" t="str" s="29">
        <f>IF(OR(D395="",D395=0),"",IF(E395="","PENDIENTE",ROUND(D395*E395,2)))</f>
      </c>
    </row>
    <row r="396" ht="27" customHeight="1">
      <c r="B396" t="str" s="14">
        <v>XO101010080</v>
      </c>
      <c r="C396" t="str" s="15">
        <v>XO Swing Dacron · 5,0 m² · Blanco</v>
      </c>
      <c r="D396" s="32"/>
      <c r="E396" t="n" s="18">
        <f>IF(Tarifas!G321="","",Tarifas!G321)</f>
        <v>180.99</v>
      </c>
      <c r="F396" t="str" s="26">
        <f>IF(OR(D396="",D396=0),"",IF(E396="","PENDIENTE",ROUND(D396*E396,2)))</f>
      </c>
    </row>
    <row r="397" ht="27" customHeight="1">
      <c r="B397" t="str" s="27">
        <v>XO101010090</v>
      </c>
      <c r="C397" t="str" s="23">
        <v>XO Swing Dacron · 5,5 m² · Rojo</v>
      </c>
      <c r="D397" s="32"/>
      <c r="E397" t="n" s="28">
        <f>IF(Tarifas!G322="","",Tarifas!G322)</f>
        <v>189.26</v>
      </c>
      <c r="F397" t="str" s="29">
        <f>IF(OR(D397="",D397=0),"",IF(E397="","PENDIENTE",ROUND(D397*E397,2)))</f>
      </c>
    </row>
    <row r="398" ht="27" customHeight="1">
      <c r="B398" t="str" s="14">
        <v>XO101011010</v>
      </c>
      <c r="C398" t="str" s="15">
        <v>XO Experience TR Dacron · 1,0 m² · Rojo</v>
      </c>
      <c r="D398" s="32"/>
      <c r="E398" t="n" s="18">
        <f>IF(Tarifas!G323="","",Tarifas!G323)</f>
        <v>131.41</v>
      </c>
      <c r="F398" t="str" s="26">
        <f>IF(OR(D398="",D398=0),"",IF(E398="","PENDIENTE",ROUND(D398*E398,2)))</f>
      </c>
    </row>
    <row r="399" ht="27" customHeight="1">
      <c r="B399" t="str" s="27">
        <v>XO101011015</v>
      </c>
      <c r="C399" t="str" s="23">
        <v>XO Experience TR Dacron · 1,5 m² · Naranja</v>
      </c>
      <c r="D399" s="32"/>
      <c r="E399" t="n" s="28">
        <f>IF(Tarifas!G324="","",Tarifas!G324)</f>
        <v>139.67</v>
      </c>
      <c r="F399" t="str" s="29">
        <f>IF(OR(D399="",D399=0),"",IF(E399="","PENDIENTE",ROUND(D399*E399,2)))</f>
      </c>
    </row>
    <row r="400" ht="27" customHeight="1">
      <c r="B400" t="str" s="14">
        <v>XO101011020</v>
      </c>
      <c r="C400" t="str" s="15">
        <v>XO Experience TR Dacron · 2,0 m² · Azul claro</v>
      </c>
      <c r="D400" s="32"/>
      <c r="E400" t="n" s="18">
        <f>IF(Tarifas!G325="","",Tarifas!G325)</f>
        <v>147.93</v>
      </c>
      <c r="F400" t="str" s="26">
        <f>IF(OR(D400="",D400=0),"",IF(E400="","PENDIENTE",ROUND(D400*E400,2)))</f>
      </c>
    </row>
    <row r="401" ht="27" customHeight="1">
      <c r="B401" t="str" s="27">
        <v>XO101011030</v>
      </c>
      <c r="C401" t="str" s="23">
        <v>XO Experience TR Dacron · 2,5 m² · Verde claro</v>
      </c>
      <c r="D401" s="32"/>
      <c r="E401" t="n" s="28">
        <f>IF(Tarifas!G326="","",Tarifas!G326)</f>
        <v>156.2</v>
      </c>
      <c r="F401" t="str" s="29">
        <f>IF(OR(D401="",D401=0),"",IF(E401="","PENDIENTE",ROUND(D401*E401,2)))</f>
      </c>
    </row>
    <row r="402" ht="27" customHeight="1">
      <c r="B402" t="str" s="14">
        <v>XO101011040</v>
      </c>
      <c r="C402" t="str" s="15">
        <v>XO Experience TR Dacron · 3,0 m² · Rosa</v>
      </c>
      <c r="D402" s="32"/>
      <c r="E402" t="n" s="18">
        <f>IF(Tarifas!G327="","",Tarifas!G327)</f>
        <v>164.46</v>
      </c>
      <c r="F402" t="str" s="26">
        <f>IF(OR(D402="",D402=0),"",IF(E402="","PENDIENTE",ROUND(D402*E402,2)))</f>
      </c>
    </row>
    <row r="403" ht="27" customHeight="1">
      <c r="B403" t="str" s="27">
        <v>XO101011050</v>
      </c>
      <c r="C403" t="str" s="23">
        <v>XO Experience TR Dacron · 3,5 m² · Amarillo flúor</v>
      </c>
      <c r="D403" s="32"/>
      <c r="E403" t="n" s="28">
        <f>IF(Tarifas!G328="","",Tarifas!G328)</f>
        <v>172.73</v>
      </c>
      <c r="F403" t="str" s="29">
        <f>IF(OR(D403="",D403=0),"",IF(E403="","PENDIENTE",ROUND(D403*E403,2)))</f>
      </c>
    </row>
    <row r="404" ht="27" customHeight="1">
      <c r="B404" t="str" s="14">
        <v>XO101011060</v>
      </c>
      <c r="C404" t="str" s="15">
        <v>XO Experience TR Dacron · 4,0 m² · Azul claro</v>
      </c>
      <c r="D404" s="32"/>
      <c r="E404" t="n" s="18">
        <f>IF(Tarifas!G329="","",Tarifas!G329)</f>
        <v>189.26</v>
      </c>
      <c r="F404" t="str" s="26">
        <f>IF(OR(D404="",D404=0),"",IF(E404="","PENDIENTE",ROUND(D404*E404,2)))</f>
      </c>
    </row>
    <row r="405" ht="27" customHeight="1">
      <c r="B405" t="str" s="27">
        <v>XO101011070</v>
      </c>
      <c r="C405" t="str" s="23">
        <v>XO Experience TR Dacron · 4,5 m² · Naranja</v>
      </c>
      <c r="D405" s="32"/>
      <c r="E405" t="n" s="28">
        <f>IF(Tarifas!G330="","",Tarifas!G330)</f>
        <v>205.79</v>
      </c>
      <c r="F405" t="str" s="29">
        <f>IF(OR(D405="",D405=0),"",IF(E405="","PENDIENTE",ROUND(D405*E405,2)))</f>
      </c>
    </row>
    <row r="406" ht="27" customHeight="1">
      <c r="B406" t="str" s="14">
        <v>XO101011080</v>
      </c>
      <c r="C406" t="str" s="15">
        <v>XO Experience TR Dacron · 5,0 m² · Blanco</v>
      </c>
      <c r="D406" s="32"/>
      <c r="E406" t="n" s="18">
        <f>IF(Tarifas!G331="","",Tarifas!G331)</f>
        <v>222.31</v>
      </c>
      <c r="F406" t="str" s="26">
        <f>IF(OR(D406="",D406=0),"",IF(E406="","PENDIENTE",ROUND(D406*E406,2)))</f>
      </c>
    </row>
    <row r="407" ht="27" customHeight="1">
      <c r="B407" t="str" s="27">
        <v>XO101011090</v>
      </c>
      <c r="C407" t="str" s="23">
        <v>XO Experience TR Dacron · 5,5 m² · Rojo</v>
      </c>
      <c r="D407" s="32"/>
      <c r="E407" t="n" s="28">
        <f>IF(Tarifas!G332="","",Tarifas!G332)</f>
        <v>238.84</v>
      </c>
      <c r="F407" t="str" s="29">
        <f>IF(OR(D407="",D407=0),"",IF(E407="","PENDIENTE",ROUND(D407*E407,2)))</f>
      </c>
    </row>
    <row r="408" ht="27" customHeight="1">
      <c r="B408" t="str" s="14">
        <v>XO101011299</v>
      </c>
      <c r="C408" t="str" s="15">
        <v>XO Rookie Monofilm · 1,0 m²</v>
      </c>
      <c r="D408" s="32"/>
      <c r="E408" t="n" s="18">
        <f>IF(Tarifas!G333="","",Tarifas!G333)</f>
        <v>139.67</v>
      </c>
      <c r="F408" t="str" s="26">
        <f>IF(OR(D408="",D408=0),"",IF(E408="","PENDIENTE",ROUND(D408*E408,2)))</f>
      </c>
    </row>
    <row r="409" ht="27" customHeight="1">
      <c r="B409" t="str" s="27">
        <v>XO101011301</v>
      </c>
      <c r="C409" t="str" s="23">
        <v>XO Rookie Monofilm · 1,5 m²</v>
      </c>
      <c r="D409" s="32"/>
      <c r="E409" t="n" s="28">
        <f>IF(Tarifas!G334="","",Tarifas!G334)</f>
        <v>147.93</v>
      </c>
      <c r="F409" t="str" s="29">
        <f>IF(OR(D409="",D409=0),"",IF(E409="","PENDIENTE",ROUND(D409*E409,2)))</f>
      </c>
    </row>
    <row r="410" ht="27" customHeight="1">
      <c r="B410" t="str" s="14">
        <v>XO101011303</v>
      </c>
      <c r="C410" t="str" s="15">
        <v>XO Rookie Monofilm · 2,0 m²</v>
      </c>
      <c r="D410" s="32"/>
      <c r="E410" t="n" s="18">
        <f>IF(Tarifas!G335="","",Tarifas!G335)</f>
        <v>156.2</v>
      </c>
      <c r="F410" t="str" s="26">
        <f>IF(OR(D410="",D410=0),"",IF(E410="","PENDIENTE",ROUND(D410*E410,2)))</f>
      </c>
    </row>
    <row r="411" ht="27" customHeight="1">
      <c r="B411" t="str" s="27">
        <v>XO101011305</v>
      </c>
      <c r="C411" t="str" s="23">
        <v>XO Rookie Monofilm · 2,5 m²</v>
      </c>
      <c r="D411" s="32"/>
      <c r="E411" t="n" s="28">
        <f>IF(Tarifas!G336="","",Tarifas!G336)</f>
        <v>164.46</v>
      </c>
      <c r="F411" t="str" s="29">
        <f>IF(OR(D411="",D411=0),"",IF(E411="","PENDIENTE",ROUND(D411*E411,2)))</f>
      </c>
    </row>
    <row r="412" ht="27" customHeight="1">
      <c r="B412" t="str" s="14">
        <v>XO101011307</v>
      </c>
      <c r="C412" t="str" s="15">
        <v>XO Rookie Monofilm · 3,0 m²</v>
      </c>
      <c r="D412" s="32"/>
      <c r="E412" t="n" s="18">
        <f>IF(Tarifas!G337="","",Tarifas!G337)</f>
        <v>172.73</v>
      </c>
      <c r="F412" t="str" s="26">
        <f>IF(OR(D412="",D412=0),"",IF(E412="","PENDIENTE",ROUND(D412*E412,2)))</f>
      </c>
    </row>
    <row r="413" ht="27" customHeight="1">
      <c r="B413" t="str" s="27">
        <v>XO101011309</v>
      </c>
      <c r="C413" t="str" s="23">
        <v>XO Rookie Monofilm · 3,5 m²</v>
      </c>
      <c r="D413" s="32"/>
      <c r="E413" t="n" s="28">
        <f>IF(Tarifas!G338="","",Tarifas!G338)</f>
        <v>180.99</v>
      </c>
      <c r="F413" t="str" s="29">
        <f>IF(OR(D413="",D413=0),"",IF(E413="","PENDIENTE",ROUND(D413*E413,2)))</f>
      </c>
    </row>
    <row r="415" ht="24" customHeight="1">
      <c r="B415" t="str" s="9">
        <v>ForSchool · Windsurf · Componentes de aparejo</v>
      </c>
      <c r="C415"/>
      <c r="D415"/>
      <c r="E415"/>
      <c r="F415"/>
    </row>
    <row r="416" ht="24.75" customHeight="1">
      <c r="B416" t="inlineStr" s="13">
        <is>
          <t>SKU</t>
        </is>
      </c>
      <c r="C416" t="inlineStr" s="13">
        <is>
          <t>Nombre</t>
        </is>
      </c>
      <c r="D416" t="inlineStr" s="13">
        <is>
          <t>Cantidad</t>
        </is>
      </c>
      <c r="E416" t="inlineStr" s="13">
        <is>
          <t>Precio sin IVA</t>
        </is>
      </c>
      <c r="F416" t="inlineStr" s="13">
        <is>
          <t>Suma</t>
        </is>
      </c>
    </row>
    <row r="417" ht="27" customHeight="1">
      <c r="B417" t="str" s="27">
        <v>UF016000010</v>
      </c>
      <c r="C417" t="str" s="23">
        <v>Unifiber Aluminium JR · Aluminium JR 110 - 150</v>
      </c>
      <c r="D417" s="32"/>
      <c r="E417" t="n" s="28">
        <f>IF(Tarifas!G339="","",Tarifas!G339)</f>
        <v>90.08</v>
      </c>
      <c r="F417" t="str" s="29">
        <f>IF(OR(D417="",D417=0),"",IF(E417="","PENDIENTE",ROUND(D417*E417,2)))</f>
      </c>
    </row>
    <row r="418" ht="27" customHeight="1">
      <c r="B418" t="str" s="14">
        <v>UF016000020</v>
      </c>
      <c r="C418" t="str" s="15">
        <v>Unifiber Aluminium JR · Aluminium JR 140 - 190</v>
      </c>
      <c r="D418" s="32"/>
      <c r="E418" t="n" s="18">
        <f>IF(Tarifas!G340="","",Tarifas!G340)</f>
        <v>106.61</v>
      </c>
      <c r="F418" t="str" s="26">
        <f>IF(OR(D418="",D418=0),"",IF(E418="","PENDIENTE",ROUND(D418*E418,2)))</f>
      </c>
    </row>
    <row r="419" ht="35" customHeight="1">
      <c r="B419" t="str" s="27">
        <v>UF012010030</v>
      </c>
      <c r="C419" t="str" s="23">
        <v>Unifiber Essentials Alloy · Essentials Alloy Boom 140-190 - Modular Head</v>
      </c>
      <c r="D419" s="32"/>
      <c r="E419" t="n" s="28">
        <f>IF(Tarifas!G341="","",Tarifas!G341)</f>
        <v>156.2</v>
      </c>
      <c r="F419" t="str" s="29">
        <f>IF(OR(D419="",D419=0),"",IF(E419="","PENDIENTE",ROUND(D419*E419,2)))</f>
      </c>
    </row>
    <row r="420" ht="35" customHeight="1">
      <c r="B420" t="str" s="14">
        <v>UF012010040</v>
      </c>
      <c r="C420" t="str" s="15">
        <v>Unifiber Essentials Alloy · Essentials Alloy Boom 160-210 - Modular Head</v>
      </c>
      <c r="D420" s="32"/>
      <c r="E420" t="n" s="18">
        <f>IF(Tarifas!G342="","",Tarifas!G342)</f>
        <v>164.46</v>
      </c>
      <c r="F420" t="str" s="26">
        <f>IF(OR(D420="",D420=0),"",IF(E420="","PENDIENTE",ROUND(D420*E420,2)))</f>
      </c>
    </row>
    <row r="421" ht="35" customHeight="1">
      <c r="B421" t="str" s="27">
        <v>UF012010050</v>
      </c>
      <c r="C421" t="str" s="23">
        <v>Unifiber Essentials Alloy · Essentials Alloy Boom 180-230 IWT - Modular Head</v>
      </c>
      <c r="D421" s="32"/>
      <c r="E421" t="n" s="28">
        <f>IF(Tarifas!G343="","",Tarifas!G343)</f>
        <v>181</v>
      </c>
      <c r="F421" t="str" s="29">
        <f>IF(OR(D421="",D421=0),"",IF(E421="","PENDIENTE",ROUND(D421*E421,2)))</f>
      </c>
    </row>
    <row r="422" ht="35" customHeight="1">
      <c r="B422" t="str" s="14">
        <v>UF030035035</v>
      </c>
      <c r="C422" t="str" s="15">
        <v>Unifiber extensiones Essentials ALU · Essentials RDM V2 Aluminium Mast Extension (U-Pin) 30</v>
      </c>
      <c r="D422" s="32"/>
      <c r="E422" t="n" s="18">
        <f>IF(Tarifas!G344="","",Tarifas!G344)</f>
        <v>53.68</v>
      </c>
      <c r="F422" t="str" s="26">
        <f>IF(OR(D422="",D422=0),"",IF(E422="","PENDIENTE",ROUND(D422*E422,2)))</f>
      </c>
    </row>
    <row r="423" ht="35" customHeight="1">
      <c r="B423" t="str" s="27">
        <v>UF030035040</v>
      </c>
      <c r="C423" t="str" s="23">
        <v>Unifiber extensiones Essentials ALU · Essentials RDM V2 Aluminium Mast Extension (U-Pin) 45</v>
      </c>
      <c r="D423" s="32"/>
      <c r="E423" t="n" s="28">
        <f>IF(Tarifas!G345="","",Tarifas!G345)</f>
        <v>61.94</v>
      </c>
      <c r="F423" t="str" s="29">
        <f>IF(OR(D423="",D423=0),"",IF(E423="","PENDIENTE",ROUND(D423*E423,2)))</f>
      </c>
    </row>
    <row r="424" ht="35" customHeight="1">
      <c r="B424" t="str" s="14">
        <v>UF030035055</v>
      </c>
      <c r="C424" t="str" s="15">
        <v>Unifiber extensiones Essentials ALU · Essentials SDM V2 Aluminium Mast Extension (U-Pin) 30</v>
      </c>
      <c r="D424" s="32"/>
      <c r="E424" t="n" s="18">
        <f>IF(Tarifas!G346="","",Tarifas!G346)</f>
        <v>49.55</v>
      </c>
      <c r="F424" t="str" s="26">
        <f>IF(OR(D424="",D424=0),"",IF(E424="","PENDIENTE",ROUND(D424*E424,2)))</f>
      </c>
    </row>
    <row r="425" ht="35" customHeight="1">
      <c r="B425" t="str" s="27">
        <v>UF030035060</v>
      </c>
      <c r="C425" t="str" s="23">
        <v>Unifiber extensiones Essentials ALU · Essentials SDM V2 Aluminium Mast Extension (U-Pin) 45</v>
      </c>
      <c r="D425" s="32"/>
      <c r="E425" t="n" s="28">
        <f>IF(Tarifas!G347="","",Tarifas!G347)</f>
        <v>57.81</v>
      </c>
      <c r="F425" t="str" s="29">
        <f>IF(OR(D425="",D425=0),"",IF(E425="","PENDIENTE",ROUND(D425*E425,2)))</f>
      </c>
    </row>
    <row r="426" ht="35" customHeight="1">
      <c r="B426" t="str" s="14">
        <v>UF030060003</v>
      </c>
      <c r="C426" t="str" s="15">
        <v>Unifiber extensiones Essentials ALU · RDM V2 Base (U-Pin) 0</v>
      </c>
      <c r="D426" s="32"/>
      <c r="E426" t="n" s="18">
        <f>IF(Tarifas!G348="","",Tarifas!G348)</f>
        <v>22.27</v>
      </c>
      <c r="F426" t="str" s="26">
        <f>IF(OR(D426="",D426=0),"",IF(E426="","PENDIENTE",ROUND(D426*E426,2)))</f>
      </c>
    </row>
    <row r="427" ht="35" customHeight="1">
      <c r="B427" t="str" s="27">
        <v>UF030070001</v>
      </c>
      <c r="C427" t="str" s="23">
        <v>Unifiber extensiones Essentials ALU · SDM V2 Base (U-Pin) 0</v>
      </c>
      <c r="D427" s="32"/>
      <c r="E427" t="n" s="28">
        <f>IF(Tarifas!G349="","",Tarifas!G349)</f>
        <v>22.27</v>
      </c>
      <c r="F427" t="str" s="29">
        <f>IF(OR(D427="",D427=0),"",IF(E427="","PENDIENTE",ROUND(D427*E427,2)))</f>
      </c>
    </row>
    <row r="428" ht="35" customHeight="1">
      <c r="B428" t="str" s="14">
        <v>UF060011000</v>
      </c>
      <c r="C428" t="str" s="15">
        <v>Unifiber bases Essentials U-Pin · Baseplate Tendon Joint Essentials (U-Pin)</v>
      </c>
      <c r="D428" s="32"/>
      <c r="E428" t="n" s="18">
        <f>IF(Tarifas!G350="","",Tarifas!G350)</f>
        <v>41.28</v>
      </c>
      <c r="F428" t="str" s="26">
        <f>IF(OR(D428="",D428=0),"",IF(E428="","PENDIENTE",ROUND(D428*E428,2)))</f>
      </c>
    </row>
    <row r="429" ht="35" customHeight="1">
      <c r="B429" t="str" s="27">
        <v>UF060011008</v>
      </c>
      <c r="C429" t="str" s="23">
        <v>Unifiber bases Essentials U-Pin · Baseplate Tendon Joint Cardan Essentials (U-Pin)</v>
      </c>
      <c r="D429" s="32"/>
      <c r="E429" t="n" s="28">
        <f>IF(Tarifas!G351="","",Tarifas!G351)</f>
        <v>49.55</v>
      </c>
      <c r="F429" t="str" s="29">
        <f>IF(OR(D429="",D429=0),"",IF(E429="","PENDIENTE",ROUND(D429*E429,2)))</f>
      </c>
    </row>
    <row r="431" ht="24" customHeight="1">
      <c r="B431" t="str" s="9">
        <v>ForSchool · Windsurf · Aletas y orzas</v>
      </c>
      <c r="C431"/>
      <c r="D431"/>
      <c r="E431"/>
      <c r="F431"/>
    </row>
    <row r="432" ht="24.75" customHeight="1">
      <c r="B432" t="inlineStr" s="13">
        <is>
          <t>SKU</t>
        </is>
      </c>
      <c r="C432" t="inlineStr" s="13">
        <is>
          <t>Nombre</t>
        </is>
      </c>
      <c r="D432" t="inlineStr" s="13">
        <is>
          <t>Cantidad</t>
        </is>
      </c>
      <c r="E432" t="inlineStr" s="13">
        <is>
          <t>Precio sin IVA</t>
        </is>
      </c>
      <c r="F432" t="inlineStr" s="13">
        <is>
          <t>Suma</t>
        </is>
      </c>
    </row>
    <row r="433" ht="27" customHeight="1">
      <c r="B433" t="str" s="27">
        <v>SM024110033</v>
      </c>
      <c r="C433" t="str" s="23">
        <v>Select Starter G10 · Starter G10 33 Power Box</v>
      </c>
      <c r="D433" s="32"/>
      <c r="E433" t="n" s="28">
        <f>IF(Tarifas!G352="","",Tarifas!G352)</f>
        <v>103.31</v>
      </c>
      <c r="F433" t="str" s="29">
        <f>IF(OR(D433="",D433=0),"",IF(E433="","PENDIENTE",ROUND(D433*E433,2)))</f>
      </c>
    </row>
    <row r="434" ht="27" customHeight="1">
      <c r="B434" t="str" s="14">
        <v>SM024110035</v>
      </c>
      <c r="C434" t="str" s="15">
        <v>Select Starter G10 · Starter G10 35 Power Box</v>
      </c>
      <c r="D434" s="32"/>
      <c r="E434" t="n" s="18">
        <f>IF(Tarifas!G353="","",Tarifas!G353)</f>
        <v>103.31</v>
      </c>
      <c r="F434" t="str" s="26">
        <f>IF(OR(D434="",D434=0),"",IF(E434="","PENDIENTE",ROUND(D434*E434,2)))</f>
      </c>
    </row>
    <row r="435" ht="27" customHeight="1">
      <c r="B435" t="str" s="27">
        <v>SM024110037</v>
      </c>
      <c r="C435" t="str" s="23">
        <v>Select Starter G10 · Starter G10 37 Power Box</v>
      </c>
      <c r="D435" s="32"/>
      <c r="E435" t="n" s="28">
        <f>IF(Tarifas!G354="","",Tarifas!G354)</f>
        <v>103.31</v>
      </c>
      <c r="F435" t="str" s="29">
        <f>IF(OR(D435="",D435=0),"",IF(E435="","PENDIENTE",ROUND(D435*E435,2)))</f>
      </c>
    </row>
    <row r="436" ht="27" customHeight="1">
      <c r="B436" t="str" s="14">
        <v>SM024110040</v>
      </c>
      <c r="C436" t="str" s="15">
        <v>Select Starter G10 · Starter G10 40 Power Box</v>
      </c>
      <c r="D436" s="32"/>
      <c r="E436" t="n" s="18">
        <f>IF(Tarifas!G355="","",Tarifas!G355)</f>
        <v>111.57</v>
      </c>
      <c r="F436" t="str" s="26">
        <f>IF(OR(D436="",D436=0),"",IF(E436="","PENDIENTE",ROUND(D436*E436,2)))</f>
      </c>
    </row>
    <row r="437" ht="27" customHeight="1">
      <c r="B437" t="str" s="27">
        <v>SM024110043</v>
      </c>
      <c r="C437" t="str" s="23">
        <v>Select Starter G10 · Starter G10 43 Power Box</v>
      </c>
      <c r="D437" s="32"/>
      <c r="E437" t="n" s="28">
        <f>IF(Tarifas!G356="","",Tarifas!G356)</f>
        <v>111.57</v>
      </c>
      <c r="F437" t="str" s="29">
        <f>IF(OR(D437="",D437=0),"",IF(E437="","PENDIENTE",ROUND(D437*E437,2)))</f>
      </c>
    </row>
    <row r="438" ht="27" customHeight="1">
      <c r="B438" t="str" s="14">
        <v>SM024110046</v>
      </c>
      <c r="C438" t="str" s="15">
        <v>Select Starter G10 · Starter G10 46 Power Box</v>
      </c>
      <c r="D438" s="32"/>
      <c r="E438" t="n" s="18">
        <f>IF(Tarifas!G357="","",Tarifas!G357)</f>
        <v>119.83</v>
      </c>
      <c r="F438" t="str" s="26">
        <f>IF(OR(D438="",D438=0),"",IF(E438="","PENDIENTE",ROUND(D438*E438,2)))</f>
      </c>
    </row>
    <row r="439" ht="27" customHeight="1">
      <c r="B439" t="str" s="27">
        <v>SM024120033</v>
      </c>
      <c r="C439" t="str" s="23">
        <v>Select Starter G10 · Starter G10 33 Tuttle Box</v>
      </c>
      <c r="D439" s="32"/>
      <c r="E439" t="n" s="28">
        <f>IF(Tarifas!G358="","",Tarifas!G358)</f>
        <v>95.04</v>
      </c>
      <c r="F439" t="str" s="29">
        <f>IF(OR(D439="",D439=0),"",IF(E439="","PENDIENTE",ROUND(D439*E439,2)))</f>
      </c>
    </row>
    <row r="440" ht="27" customHeight="1">
      <c r="B440" t="str" s="14">
        <v>SM024120035</v>
      </c>
      <c r="C440" t="str" s="15">
        <v>Select Starter G10 · Starter G10 35 Tuttle Box</v>
      </c>
      <c r="D440" s="32"/>
      <c r="E440" t="n" s="18">
        <f>IF(Tarifas!G359="","",Tarifas!G359)</f>
        <v>103.31</v>
      </c>
      <c r="F440" t="str" s="26">
        <f>IF(OR(D440="",D440=0),"",IF(E440="","PENDIENTE",ROUND(D440*E440,2)))</f>
      </c>
    </row>
    <row r="441" ht="27" customHeight="1">
      <c r="B441" t="str" s="27">
        <v>SM024120037</v>
      </c>
      <c r="C441" t="str" s="23">
        <v>Select Starter G10 · Starter G10 37 Tuttle Box</v>
      </c>
      <c r="D441" s="32"/>
      <c r="E441" t="n" s="28">
        <f>IF(Tarifas!G360="","",Tarifas!G360)</f>
        <v>103.31</v>
      </c>
      <c r="F441" t="str" s="29">
        <f>IF(OR(D441="",D441=0),"",IF(E441="","PENDIENTE",ROUND(D441*E441,2)))</f>
      </c>
    </row>
    <row r="442" ht="27" customHeight="1">
      <c r="B442" t="str" s="14">
        <v>SM024120040</v>
      </c>
      <c r="C442" t="str" s="15">
        <v>Select Starter G10 · Starter G10 40 Tuttle Box</v>
      </c>
      <c r="D442" s="32"/>
      <c r="E442" t="n" s="18">
        <f>IF(Tarifas!G361="","",Tarifas!G361)</f>
        <v>111.57</v>
      </c>
      <c r="F442" t="str" s="26">
        <f>IF(OR(D442="",D442=0),"",IF(E442="","PENDIENTE",ROUND(D442*E442,2)))</f>
      </c>
    </row>
    <row r="443" ht="27" customHeight="1">
      <c r="B443" t="str" s="27">
        <v>SM024120043</v>
      </c>
      <c r="C443" t="str" s="23">
        <v>Select Starter G10 · Starter G10 43 Tuttle Box</v>
      </c>
      <c r="D443" s="32"/>
      <c r="E443" t="n" s="28">
        <f>IF(Tarifas!G362="","",Tarifas!G362)</f>
        <v>111.57</v>
      </c>
      <c r="F443" t="str" s="29">
        <f>IF(OR(D443="",D443=0),"",IF(E443="","PENDIENTE",ROUND(D443*E443,2)))</f>
      </c>
    </row>
    <row r="444" ht="27" customHeight="1">
      <c r="B444" t="str" s="14">
        <v>SM024120046</v>
      </c>
      <c r="C444" t="str" s="15">
        <v>Select Starter G10 · Starter G10 46 Tuttle Box</v>
      </c>
      <c r="D444" s="32"/>
      <c r="E444" t="n" s="18">
        <f>IF(Tarifas!G363="","",Tarifas!G363)</f>
        <v>119.83</v>
      </c>
      <c r="F444" t="str" s="26">
        <f>IF(OR(D444="",D444=0),"",IF(E444="","PENDIENTE",ROUND(D444*E444,2)))</f>
      </c>
    </row>
    <row r="445" ht="27" customHeight="1">
      <c r="B445" t="str" s="27">
        <v>SM024130033</v>
      </c>
      <c r="C445" t="str" s="23">
        <v>Select Starter G10 · Starter G10 33 US Box</v>
      </c>
      <c r="D445" s="32"/>
      <c r="E445" t="n" s="28">
        <f>IF(Tarifas!G364="","",Tarifas!G364)</f>
        <v>95.04</v>
      </c>
      <c r="F445" t="str" s="29">
        <f>IF(OR(D445="",D445=0),"",IF(E445="","PENDIENTE",ROUND(D445*E445,2)))</f>
      </c>
    </row>
    <row r="446" ht="27" customHeight="1">
      <c r="B446" t="str" s="14">
        <v>SM024130035</v>
      </c>
      <c r="C446" t="str" s="15">
        <v>Select Starter G10 · Starter G10 35 US Box</v>
      </c>
      <c r="D446" s="32"/>
      <c r="E446" t="n" s="18">
        <f>IF(Tarifas!G365="","",Tarifas!G365)</f>
        <v>103.31</v>
      </c>
      <c r="F446" t="str" s="26">
        <f>IF(OR(D446="",D446=0),"",IF(E446="","PENDIENTE",ROUND(D446*E446,2)))</f>
      </c>
    </row>
    <row r="447" ht="27" customHeight="1">
      <c r="B447" t="str" s="27">
        <v>SM024130037</v>
      </c>
      <c r="C447" t="str" s="23">
        <v>Select Starter G10 · Starter G10 37 US Box</v>
      </c>
      <c r="D447" s="32"/>
      <c r="E447" t="n" s="28">
        <f>IF(Tarifas!G366="","",Tarifas!G366)</f>
        <v>103.31</v>
      </c>
      <c r="F447" t="str" s="29">
        <f>IF(OR(D447="",D447=0),"",IF(E447="","PENDIENTE",ROUND(D447*E447,2)))</f>
      </c>
    </row>
    <row r="448" ht="35" customHeight="1">
      <c r="B448" t="str" s="14">
        <v>UF600000169</v>
      </c>
      <c r="C448" t="str" s="15">
        <v>Unifiber Freeride Plastic 34 · Freeride Plastic 34 cm Power Box</v>
      </c>
      <c r="D448" s="32"/>
      <c r="E448" t="n" s="18">
        <f>IF(Tarifas!G367="","",Tarifas!G367)</f>
        <v>37.98</v>
      </c>
      <c r="F448" t="str" s="26">
        <f>IF(OR(D448="",D448=0),"",IF(E448="","PENDIENTE",ROUND(D448*E448,2)))</f>
      </c>
    </row>
    <row r="449" ht="27" customHeight="1">
      <c r="B449" t="str" s="27">
        <v>AR00120</v>
      </c>
      <c r="C449" t="str" s="23">
        <v>Orzas y repuestos de orza · Allgaier Daggerboard 52cm</v>
      </c>
      <c r="D449" s="32"/>
      <c r="E449" t="n" s="28">
        <f>IF(Tarifas!G368="","",Tarifas!G368)</f>
        <v>82.6</v>
      </c>
      <c r="F449" t="str" s="29">
        <f>IF(OR(D449="",D449=0),"",IF(E449="","PENDIENTE",ROUND(D449*E449,2)))</f>
      </c>
    </row>
    <row r="450" ht="27" customHeight="1">
      <c r="B450" t="str" s="14">
        <v>AR00121</v>
      </c>
      <c r="C450" t="str" s="15">
        <v>Orzas y repuestos de orza · Allgaier Daggerboard 62cm</v>
      </c>
      <c r="D450" s="32"/>
      <c r="E450" t="n" s="18">
        <f>IF(Tarifas!G369="","",Tarifas!G369)</f>
        <v>73.55</v>
      </c>
      <c r="F450" t="str" s="26">
        <f>IF(OR(D450="",D450=0),"",IF(E450="","PENDIENTE",ROUND(D450*E450,2)))</f>
      </c>
    </row>
    <row r="451" ht="27" customHeight="1">
      <c r="B451" t="str" s="27">
        <v>UF079010006</v>
      </c>
      <c r="C451" t="str" s="23">
        <v>Orzas y repuestos de orza · Rookie Daggerboard Case</v>
      </c>
      <c r="D451" s="32"/>
      <c r="E451" t="n" s="28">
        <f>IF(Tarifas!G370="","",Tarifas!G370)</f>
        <v>139.67</v>
      </c>
      <c r="F451" t="str" s="29">
        <f>IF(OR(D451="",D451=0),"",IF(E451="","PENDIENTE",ROUND(D451*E451,2)))</f>
      </c>
    </row>
    <row r="452" ht="27" customHeight="1">
      <c r="B452" t="str" s="14">
        <v>UF079010007</v>
      </c>
      <c r="C452" t="str" s="15">
        <v>Orzas y repuestos de orza · Rookie Daggerboard</v>
      </c>
      <c r="D452" s="32"/>
      <c r="E452" t="n" s="18">
        <f>IF(Tarifas!G371="","",Tarifas!G371)</f>
        <v>78.47</v>
      </c>
      <c r="F452" t="str" s="26">
        <f>IF(OR(D452="",D452=0),"",IF(E452="","PENDIENTE",ROUND(D452*E452,2)))</f>
      </c>
    </row>
    <row r="453" ht="27" customHeight="1">
      <c r="B453" t="str" s="27">
        <v>UF052021025</v>
      </c>
      <c r="C453" t="str" s="23">
        <v>Orzas y repuestos de orza · Daggerboard Knob Cover</v>
      </c>
      <c r="D453" s="32"/>
      <c r="E453" t="n" s="28">
        <f>IF(Tarifas!G372="","",Tarifas!G372)</f>
        <v>23.1</v>
      </c>
      <c r="F453" t="str" s="29">
        <f>IF(OR(D453="",D453=0),"",IF(E453="","PENDIENTE",ROUND(D453*E453,2)))</f>
      </c>
    </row>
    <row r="455" ht="24" customHeight="1">
      <c r="B455" t="str" s="9">
        <v>ForSchool · Windsurf · Protección y seguridad</v>
      </c>
      <c r="C455"/>
      <c r="D455"/>
      <c r="E455"/>
      <c r="F455"/>
    </row>
    <row r="456" ht="24.75" customHeight="1">
      <c r="B456" t="inlineStr" s="13">
        <is>
          <t>SKU</t>
        </is>
      </c>
      <c r="C456" t="inlineStr" s="13">
        <is>
          <t>Nombre</t>
        </is>
      </c>
      <c r="D456" t="inlineStr" s="13">
        <is>
          <t>Cantidad</t>
        </is>
      </c>
      <c r="E456" t="inlineStr" s="13">
        <is>
          <t>Precio sin IVA</t>
        </is>
      </c>
      <c r="F456" t="inlineStr" s="13">
        <is>
          <t>Suma</t>
        </is>
      </c>
    </row>
    <row r="457" ht="27" customHeight="1">
      <c r="B457" t="str" s="27">
        <v>UF052020024</v>
      </c>
      <c r="C457" t="str" s="23">
        <v>Unifiber protección de tabla · Boardguard</v>
      </c>
      <c r="D457" s="32"/>
      <c r="E457" t="n" s="28">
        <f>IF(Tarifas!G373="","",Tarifas!G373)</f>
        <v>41.28</v>
      </c>
      <c r="F457" t="str" s="29">
        <f>IF(OR(D457="",D457=0),"",IF(E457="","PENDIENTE",ROUND(D457*E457,2)))</f>
      </c>
    </row>
    <row r="458" ht="35" customHeight="1">
      <c r="B458" t="str" s="14">
        <v>UF052020026</v>
      </c>
      <c r="C458" t="str" s="15">
        <v>Unifiber protección de tabla · Blackline Boom Board Protector</v>
      </c>
      <c r="D458" s="32"/>
      <c r="E458" t="n" s="18">
        <f>IF(Tarifas!G374="","",Tarifas!G374)</f>
        <v>10.7</v>
      </c>
      <c r="F458" t="str" s="26">
        <f>IF(OR(D458="",D458=0),"",IF(E458="","PENDIENTE",ROUND(D458*E458,2)))</f>
      </c>
    </row>
    <row r="459" ht="35" customHeight="1">
      <c r="B459" t="str" s="27">
        <v>UF052020028</v>
      </c>
      <c r="C459" t="str" s="23">
        <v>Unifiber protección de tabla · Blackline Boom-Board Protector with Mast Cover</v>
      </c>
      <c r="D459" s="32"/>
      <c r="E459" t="n" s="28">
        <f>IF(Tarifas!G375="","",Tarifas!G375)</f>
        <v>26.41</v>
      </c>
      <c r="F459" t="str" s="29">
        <f>IF(OR(D459="",D459=0),"",IF(E459="","PENDIENTE",ROUND(D459*E459,2)))</f>
      </c>
    </row>
    <row r="460" ht="35" customHeight="1">
      <c r="B460" t="str" s="14">
        <v>UF052020045</v>
      </c>
      <c r="C460" t="str" s="15">
        <v>Unifiber protectores de proa · Universal Double-Density 3M Self Adhesive Nose Protector S</v>
      </c>
      <c r="D460" s="32"/>
      <c r="E460" t="n" s="18">
        <f>IF(Tarifas!G376="","",Tarifas!G376)</f>
        <v>37.15</v>
      </c>
      <c r="F460" t="str" s="26">
        <f>IF(OR(D460="",D460=0),"",IF(E460="","PENDIENTE",ROUND(D460*E460,2)))</f>
      </c>
    </row>
    <row r="461" ht="35" customHeight="1">
      <c r="B461" t="str" s="27">
        <v>UF052020046</v>
      </c>
      <c r="C461" t="str" s="23">
        <v>Unifiber protectores de proa · Universal Double-Density 3M Self Adhesive Nose Protector M</v>
      </c>
      <c r="D461" s="32"/>
      <c r="E461" t="n" s="28">
        <f>IF(Tarifas!G377="","",Tarifas!G377)</f>
        <v>41.28</v>
      </c>
      <c r="F461" t="str" s="29">
        <f>IF(OR(D461="",D461=0),"",IF(E461="","PENDIENTE",ROUND(D461*E461,2)))</f>
      </c>
    </row>
    <row r="462" ht="35" customHeight="1">
      <c r="B462" t="str" s="14">
        <v>UF052020047</v>
      </c>
      <c r="C462" t="str" s="15">
        <v>Unifiber protectores de proa · Universal Double-Density 3M Self Adhesive Nose Protector L</v>
      </c>
      <c r="D462" s="32"/>
      <c r="E462" t="n" s="18">
        <f>IF(Tarifas!G378="","",Tarifas!G378)</f>
        <v>45.41</v>
      </c>
      <c r="F462" t="str" s="26">
        <f>IF(OR(D462="",D462=0),"",IF(E462="","PENDIENTE",ROUND(D462*E462,2)))</f>
      </c>
    </row>
    <row r="463" ht="35" customHeight="1">
      <c r="B463" t="str" s="27">
        <v>UF052020049</v>
      </c>
      <c r="C463" t="str" s="23">
        <v>Unifiber protectores de proa · Universal Double Density 3M Self Adhesive Nose Protector XL</v>
      </c>
      <c r="D463" s="32"/>
      <c r="E463" t="n" s="28">
        <f>IF(Tarifas!G379="","",Tarifas!G379)</f>
        <v>53.68</v>
      </c>
      <c r="F463" t="str" s="29">
        <f>IF(OR(D463="",D463=0),"",IF(E463="","PENDIENTE",ROUND(D463*E463,2)))</f>
      </c>
    </row>
    <row r="464" ht="35" customHeight="1">
      <c r="B464" t="str" s="14">
        <v>UF052020050</v>
      </c>
      <c r="C464" t="str" s="15">
        <v>Unifiber protectores de proa · Modular Double Density 3M Self Adhesive Nose Protector XXL</v>
      </c>
      <c r="D464" s="32"/>
      <c r="E464" t="n" s="18">
        <f>IF(Tarifas!G380="","",Tarifas!G380)</f>
        <v>61.94</v>
      </c>
      <c r="F464" t="str" s="26">
        <f>IF(OR(D464="",D464=0),"",IF(E464="","PENDIENTE",ROUND(D464*E464,2)))</f>
      </c>
    </row>
    <row r="465" ht="35" customHeight="1">
      <c r="B465" t="str" s="27">
        <v>D1WACWBP-BLASTD</v>
      </c>
      <c r="C465" t="str" s="23">
        <v>Protectores de pie de mástil · Wai Wai Base Pad OS - Black</v>
      </c>
      <c r="D465" s="32"/>
      <c r="E465" t="n" s="28">
        <f>IF(Tarifas!G381="","",Tarifas!G381)</f>
        <v>9.05</v>
      </c>
      <c r="F465" t="str" s="29">
        <f>IF(OR(D465="",D465=0),"",IF(E465="","PENDIENTE",ROUND(D465*E465,2)))</f>
      </c>
    </row>
    <row r="466" ht="35" customHeight="1">
      <c r="B466" t="str" s="14">
        <v>D1WACWBP-DLASTD</v>
      </c>
      <c r="C466" t="str" s="15">
        <v>Protectores de pie de mástil · Wai Wai Base Pad OS - Deep Lake</v>
      </c>
      <c r="D466" s="32"/>
      <c r="E466" t="n" s="18">
        <f>IF(Tarifas!G382="","",Tarifas!G382)</f>
        <v>9.05</v>
      </c>
      <c r="F466" t="str" s="26">
        <f>IF(OR(D466="",D466=0),"",IF(E466="","PENDIENTE",ROUND(D466*E466,2)))</f>
      </c>
    </row>
    <row r="467" ht="35" customHeight="1">
      <c r="B467" t="str" s="27">
        <v>D1WACWBP-FLOSTD</v>
      </c>
      <c r="C467" t="str" s="23">
        <v>Protectores de pie de mástil · Wai Wai Base Pad OS - Florida Blue</v>
      </c>
      <c r="D467" s="32"/>
      <c r="E467" t="n" s="28">
        <f>IF(Tarifas!G383="","",Tarifas!G383)</f>
        <v>9.05</v>
      </c>
      <c r="F467" t="str" s="29">
        <f>IF(OR(D467="",D467=0),"",IF(E467="","PENDIENTE",ROUND(D467*E467,2)))</f>
      </c>
    </row>
    <row r="468" ht="27" customHeight="1">
      <c r="B468" t="str" s="14">
        <v>UF052020027</v>
      </c>
      <c r="C468" t="str" s="15">
        <v>Protectores de pie de mástil · Blackline Mastbase Pad</v>
      </c>
      <c r="D468" s="32"/>
      <c r="E468" t="n" s="18">
        <f>IF(Tarifas!G384="","",Tarifas!G384)</f>
        <v>9.88</v>
      </c>
      <c r="F468" t="str" s="26">
        <f>IF(OR(D468="",D468=0),"",IF(E468="","PENDIENTE",ROUND(D468*E468,2)))</f>
      </c>
    </row>
    <row r="469" ht="35" customHeight="1">
      <c r="B469" t="str" s="27">
        <v>UF060070005</v>
      </c>
      <c r="C469" t="str" s="23">
        <v>Unifiber Watersport Helmet · Watersport Helmet Adjustable Navy Size S</v>
      </c>
      <c r="D469" s="32"/>
      <c r="E469" t="n" s="28">
        <f>IF(Tarifas!G385="","",Tarifas!G385)</f>
        <v>41.28</v>
      </c>
      <c r="F469" t="str" s="29">
        <f>IF(OR(D469="",D469=0),"",IF(E469="","PENDIENTE",ROUND(D469*E469,2)))</f>
      </c>
    </row>
    <row r="470" ht="35" customHeight="1">
      <c r="B470" t="str" s="14">
        <v>UF060070010</v>
      </c>
      <c r="C470" t="str" s="15">
        <v>Unifiber Watersport Helmet · Watersport Helmet Adjustable Navy Size M</v>
      </c>
      <c r="D470" s="32"/>
      <c r="E470" t="n" s="18">
        <f>IF(Tarifas!G386="","",Tarifas!G386)</f>
        <v>49.55</v>
      </c>
      <c r="F470" t="str" s="26">
        <f>IF(OR(D470="",D470=0),"",IF(E470="","PENDIENTE",ROUND(D470*E470,2)))</f>
      </c>
    </row>
    <row r="471" ht="35" customHeight="1">
      <c r="B471" t="str" s="27">
        <v>UF060070020</v>
      </c>
      <c r="C471" t="str" s="23">
        <v>Unifiber Watersport Helmet · Watersport Helmet Adjustable Navy Size L</v>
      </c>
      <c r="D471" s="32"/>
      <c r="E471" t="n" s="28">
        <f>IF(Tarifas!G387="","",Tarifas!G387)</f>
        <v>49.55</v>
      </c>
      <c r="F471" t="str" s="29">
        <f>IF(OR(D471="",D471=0),"",IF(E471="","PENDIENTE",ROUND(D471*E471,2)))</f>
      </c>
    </row>
    <row r="472" ht="35" customHeight="1">
      <c r="B472" t="str" s="14">
        <v>UF060070025</v>
      </c>
      <c r="C472" t="str" s="15">
        <v>Unifiber Watersport Helmet · Watersport Helmet Adjustable Slate Blue S</v>
      </c>
      <c r="D472" s="32"/>
      <c r="E472" t="n" s="18">
        <f>IF(Tarifas!G388="","",Tarifas!G388)</f>
        <v>41.28</v>
      </c>
      <c r="F472" t="str" s="26">
        <f>IF(OR(D472="",D472=0),"",IF(E472="","PENDIENTE",ROUND(D472*E472,2)))</f>
      </c>
    </row>
    <row r="473" ht="35" customHeight="1">
      <c r="B473" t="str" s="27">
        <v>UF060070030</v>
      </c>
      <c r="C473" t="str" s="23">
        <v>Unifiber Watersport Helmet · Watersport Helmet Adjustable Slate Blue M</v>
      </c>
      <c r="D473" s="32"/>
      <c r="E473" t="n" s="28">
        <f>IF(Tarifas!G389="","",Tarifas!G389)</f>
        <v>49.55</v>
      </c>
      <c r="F473" t="str" s="29">
        <f>IF(OR(D473="",D473=0),"",IF(E473="","PENDIENTE",ROUND(D473*E473,2)))</f>
      </c>
    </row>
    <row r="474" ht="35" customHeight="1">
      <c r="B474" t="str" s="14">
        <v>UF060070040</v>
      </c>
      <c r="C474" t="str" s="15">
        <v>Unifiber Watersport Helmet · Watersport Helmet Adjustable Slate Blue L</v>
      </c>
      <c r="D474" s="32"/>
      <c r="E474" t="n" s="18">
        <f>IF(Tarifas!G390="","",Tarifas!G390)</f>
        <v>41.28</v>
      </c>
      <c r="F474" t="str" s="26">
        <f>IF(OR(D474="",D474=0),"",IF(E474="","PENDIENTE",ROUND(D474*E474,2)))</f>
      </c>
    </row>
    <row r="476" ht="24" customHeight="1">
      <c r="B476" t="str" s="9">
        <v>ForSchool · Windsurf · Accesorios de uso diario</v>
      </c>
      <c r="C476"/>
      <c r="D476"/>
      <c r="E476"/>
      <c r="F476"/>
    </row>
    <row r="477" ht="24.75" customHeight="1">
      <c r="B477" t="inlineStr" s="13">
        <is>
          <t>SKU</t>
        </is>
      </c>
      <c r="C477" t="inlineStr" s="13">
        <is>
          <t>Nombre</t>
        </is>
      </c>
      <c r="D477" t="inlineStr" s="13">
        <is>
          <t>Cantidad</t>
        </is>
      </c>
      <c r="E477" t="inlineStr" s="13">
        <is>
          <t>Precio sin IVA</t>
        </is>
      </c>
      <c r="F477" t="inlineStr" s="13">
        <is>
          <t>Suma</t>
        </is>
      </c>
    </row>
    <row r="478" ht="27" customHeight="1">
      <c r="B478" t="str" s="14">
        <v>UF052020012</v>
      </c>
      <c r="C478" t="str" s="15">
        <v>Unifiber drizas HD · HD Uphaul String</v>
      </c>
      <c r="D478" s="32"/>
      <c r="E478" t="n" s="18">
        <f>IF(Tarifas!G391="","",Tarifas!G391)</f>
        <v>10.7</v>
      </c>
      <c r="F478" t="str" s="26">
        <f>IF(OR(D478="",D478=0),"",IF(E478="","PENDIENTE",ROUND(D478*E478,2)))</f>
      </c>
    </row>
    <row r="479" ht="27" customHeight="1">
      <c r="B479" t="str" s="27">
        <v>UF052020013</v>
      </c>
      <c r="C479" t="str" s="23">
        <v>Unifiber drizas HD · HD Effortless Uphaul</v>
      </c>
      <c r="D479" s="32"/>
      <c r="E479" t="n" s="28">
        <f>IF(Tarifas!G392="","",Tarifas!G392)</f>
        <v>24.75</v>
      </c>
      <c r="F479" t="str" s="29">
        <f>IF(OR(D479="",D479=0),"",IF(E479="","PENDIENTE",ROUND(D479*E479,2)))</f>
      </c>
    </row>
    <row r="480" ht="27" customHeight="1">
      <c r="B480" t="str" s="14">
        <v>UF059020040</v>
      </c>
      <c r="C480" t="str" s="15">
        <v>Unifiber arnés Freeride · Freeride Harness Size M</v>
      </c>
      <c r="D480" s="32"/>
      <c r="E480" t="n" s="18">
        <f>IF(Tarifas!G393="","",Tarifas!G393)</f>
        <v>81.82</v>
      </c>
      <c r="F480" t="str" s="26">
        <f>IF(OR(D480="",D480=0),"",IF(E480="","PENDIENTE",ROUND(D480*E480,2)))</f>
      </c>
    </row>
    <row r="481" ht="27" customHeight="1">
      <c r="B481" t="str" s="27">
        <v>UF059020050</v>
      </c>
      <c r="C481" t="str" s="23">
        <v>Unifiber arnés Freeride · Freeride Harness Size L</v>
      </c>
      <c r="D481" s="32"/>
      <c r="E481" t="n" s="28">
        <f>IF(Tarifas!G394="","",Tarifas!G394)</f>
        <v>81.82</v>
      </c>
      <c r="F481" t="str" s="29">
        <f>IF(OR(D481="",D481=0),"",IF(E481="","PENDIENTE",ROUND(D481*E481,2)))</f>
      </c>
    </row>
    <row r="482" ht="27" customHeight="1">
      <c r="B482" t="str" s="14">
        <v>UF059020060</v>
      </c>
      <c r="C482" t="str" s="15">
        <v>Unifiber arnés Freeride · Freeride Harness Size XL</v>
      </c>
      <c r="D482" s="32"/>
      <c r="E482" t="n" s="18">
        <f>IF(Tarifas!G395="","",Tarifas!G395)</f>
        <v>81.82</v>
      </c>
      <c r="F482" t="str" s="26">
        <f>IF(OR(D482="",D482=0),"",IF(E482="","PENDIENTE",ROUND(D482*E482,2)))</f>
      </c>
    </row>
    <row r="483" ht="35" customHeight="1">
      <c r="B483" t="str" s="27">
        <v>UF052006010</v>
      </c>
      <c r="C483" t="str" s="23">
        <v>Unifiber cabos de arnés ajustables · Essentials Harness Lines Fixed Vario 22-28 Inch</v>
      </c>
      <c r="D483" s="32"/>
      <c r="E483" t="n" s="28">
        <f>IF(Tarifas!G396="","",Tarifas!G396)</f>
        <v>31.36</v>
      </c>
      <c r="F483" t="str" s="29">
        <f>IF(OR(D483="",D483=0),"",IF(E483="","PENDIENTE",ROUND(D483*E483,2)))</f>
      </c>
    </row>
    <row r="484" ht="35" customHeight="1">
      <c r="B484" t="str" s="14">
        <v>UF052006015</v>
      </c>
      <c r="C484" t="str" s="15">
        <v>Unifiber cabos de arnés ajustables · Essentials Harness Lines Fixed Vario 25-32 Inch</v>
      </c>
      <c r="D484" s="32"/>
      <c r="E484" t="n" s="18">
        <f>IF(Tarifas!G397="","",Tarifas!G397)</f>
        <v>31.36</v>
      </c>
      <c r="F484" t="str" s="26">
        <f>IF(OR(D484="",D484=0),"",IF(E484="","PENDIENTE",ROUND(D484*E484,2)))</f>
      </c>
    </row>
    <row r="485" ht="35" customHeight="1">
      <c r="B485" t="str" s="27">
        <v>UF052006020</v>
      </c>
      <c r="C485" t="str" s="23">
        <v>Unifiber cabos de arnés ajustables · Essentials Harness Lines Fixed Vario 28-36 Inch</v>
      </c>
      <c r="D485" s="32"/>
      <c r="E485" t="n" s="28">
        <f>IF(Tarifas!G398="","",Tarifas!G398)</f>
        <v>31.36</v>
      </c>
      <c r="F485" t="str" s="29">
        <f>IF(OR(D485="",D485=0),"",IF(E485="","PENDIENTE",ROUND(D485*E485,2)))</f>
      </c>
    </row>
    <row r="486" ht="35" customHeight="1">
      <c r="B486" t="str" s="14">
        <v>UF052009010</v>
      </c>
      <c r="C486" t="str" s="15">
        <v>Unifiber cabos de arnés ajustables · HD Harness Lines Quick Vario 22-28 Inch</v>
      </c>
      <c r="D486" s="32"/>
      <c r="E486" t="n" s="18">
        <f>IF(Tarifas!G399="","",Tarifas!G399)</f>
        <v>35.5</v>
      </c>
      <c r="F486" t="str" s="26">
        <f>IF(OR(D486="",D486=0),"",IF(E486="","PENDIENTE",ROUND(D486*E486,2)))</f>
      </c>
    </row>
    <row r="487" ht="35" customHeight="1">
      <c r="B487" t="str" s="27">
        <v>UF052009015</v>
      </c>
      <c r="C487" t="str" s="23">
        <v>Unifiber cabos de arnés ajustables · HD Harness Lines Quick Vario 25-32 Inch</v>
      </c>
      <c r="D487" s="32"/>
      <c r="E487" t="n" s="28">
        <f>IF(Tarifas!G400="","",Tarifas!G400)</f>
        <v>35.5</v>
      </c>
      <c r="F487" t="str" s="29">
        <f>IF(OR(D487="",D487=0),"",IF(E487="","PENDIENTE",ROUND(D487*E487,2)))</f>
      </c>
    </row>
    <row r="488" ht="35" customHeight="1">
      <c r="B488" t="str" s="14">
        <v>UF052009020</v>
      </c>
      <c r="C488" t="str" s="15">
        <v>Unifiber cabos de arnés ajustables · HD Harness Lines Quick Vario 28-36 Inch</v>
      </c>
      <c r="D488" s="32"/>
      <c r="E488" t="n" s="18">
        <f>IF(Tarifas!G401="","",Tarifas!G401)</f>
        <v>35.5</v>
      </c>
      <c r="F488" t="str" s="26">
        <f>IF(OR(D488="",D488=0),"",IF(E488="","PENDIENTE",ROUND(D488*E488,2)))</f>
      </c>
    </row>
    <row r="490" ht="24" customHeight="1">
      <c r="B490" t="str" s="9">
        <v>ForSchool · Windsurf · Almacenaje y transporte</v>
      </c>
      <c r="C490"/>
      <c r="D490"/>
      <c r="E490"/>
      <c r="F490"/>
    </row>
    <row r="491" ht="24.75" customHeight="1">
      <c r="B491" t="inlineStr" s="13">
        <is>
          <t>SKU</t>
        </is>
      </c>
      <c r="C491" t="inlineStr" s="13">
        <is>
          <t>Nombre</t>
        </is>
      </c>
      <c r="D491" t="inlineStr" s="13">
        <is>
          <t>Cantidad</t>
        </is>
      </c>
      <c r="E491" t="inlineStr" s="13">
        <is>
          <t>Precio sin IVA</t>
        </is>
      </c>
      <c r="F491" t="inlineStr" s="13">
        <is>
          <t>Suma</t>
        </is>
      </c>
    </row>
    <row r="492" ht="35" customHeight="1">
      <c r="B492" t="str" s="14">
        <v>UF050024025</v>
      </c>
      <c r="C492" t="str" s="15">
        <v>Unifiber bolsas de material · Blackline Small Equipment Carry Bag</v>
      </c>
      <c r="D492" s="32"/>
      <c r="E492" t="n" s="18">
        <f>IF(Tarifas!G402="","",Tarifas!G402)</f>
        <v>53.68</v>
      </c>
      <c r="F492" t="str" s="26">
        <f>IF(OR(D492="",D492=0),"",IF(E492="","PENDIENTE",ROUND(D492*E492,2)))</f>
      </c>
    </row>
    <row r="493" ht="35" customHeight="1">
      <c r="B493" t="str" s="27">
        <v>UF050024026</v>
      </c>
      <c r="C493" t="str" s="23">
        <v>Unifiber bolsas de material · Blackline Medium Equipment Carry Bag</v>
      </c>
      <c r="D493" s="32"/>
      <c r="E493" t="n" s="28">
        <f>IF(Tarifas!G403="","",Tarifas!G403)</f>
        <v>61.94</v>
      </c>
      <c r="F493" t="str" s="29">
        <f>IF(OR(D493="",D493=0),"",IF(E493="","PENDIENTE",ROUND(D493*E493,2)))</f>
      </c>
    </row>
    <row r="494" ht="35" customHeight="1">
      <c r="B494" t="str" s="14">
        <v>UF050024028</v>
      </c>
      <c r="C494" t="str" s="15">
        <v>Unifiber bolsas de material · Blackline Wetsuit Carry Bag</v>
      </c>
      <c r="D494" s="32"/>
      <c r="E494" t="n" s="18">
        <f>IF(Tarifas!G404="","",Tarifas!G404)</f>
        <v>33.02</v>
      </c>
      <c r="F494" t="str" s="26">
        <f>IF(OR(D494="",D494=0),"",IF(E494="","PENDIENTE",ROUND(D494*E494,2)))</f>
      </c>
    </row>
    <row r="495" ht="35" customHeight="1">
      <c r="B495" t="str" s="27">
        <v>UF052020030</v>
      </c>
      <c r="C495" t="str" s="23">
        <v>Unifiber transporte de flota · Tie-Down Straps 25-mm Wide</v>
      </c>
      <c r="D495" s="32"/>
      <c r="E495" t="n" s="28">
        <f>IF(Tarifas!G405="","",Tarifas!G405)</f>
        <v>20.62</v>
      </c>
      <c r="F495" t="str" s="29">
        <f>IF(OR(D495="",D495=0),"",IF(E495="","PENDIENTE",ROUND(D495*E495,2)))</f>
      </c>
    </row>
    <row r="496" ht="35" customHeight="1">
      <c r="B496" t="str" s="14">
        <v>UF052020031</v>
      </c>
      <c r="C496" t="str" s="15">
        <v>Unifiber transporte de flota · Tie-Down Straps 35-mm Wide</v>
      </c>
      <c r="D496" s="32"/>
      <c r="E496" t="n" s="18">
        <f>IF(Tarifas!G406="","",Tarifas!G406)</f>
        <v>24.75</v>
      </c>
      <c r="F496" t="str" s="26">
        <f>IF(OR(D496="",D496=0),"",IF(E496="","PENDIENTE",ROUND(D496*E496,2)))</f>
      </c>
    </row>
    <row r="497" ht="35" customHeight="1">
      <c r="B497" t="str" s="27">
        <v>UF052021010</v>
      </c>
      <c r="C497" t="str" s="23">
        <v>Unifiber transporte de flota · Roofrack Pads Luxury 50 cm</v>
      </c>
      <c r="D497" s="32"/>
      <c r="E497" t="n" s="28">
        <f>IF(Tarifas!G407="","",Tarifas!G407)</f>
        <v>12.35</v>
      </c>
      <c r="F497" t="str" s="29">
        <f>IF(OR(D497="",D497=0),"",IF(E497="","PENDIENTE",ROUND(D497*E497,2)))</f>
      </c>
    </row>
    <row r="498" ht="35" customHeight="1">
      <c r="B498" t="str" s="14">
        <v>UF052021020</v>
      </c>
      <c r="C498" t="str" s="15">
        <v>Unifiber transporte de flota · Roofrack Pads Luxury 75 cm</v>
      </c>
      <c r="D498" s="32"/>
      <c r="E498" t="n" s="18">
        <f>IF(Tarifas!G408="","",Tarifas!G408)</f>
        <v>14.01</v>
      </c>
      <c r="F498" t="str" s="26">
        <f>IF(OR(D498="",D498=0),"",IF(E498="","PENDIENTE",ROUND(D498*E498,2)))</f>
      </c>
    </row>
    <row r="499" ht="27" customHeight="1">
      <c r="B499" t="str" s="27">
        <v>UF053010090</v>
      </c>
      <c r="C499" t="str" s="23">
        <v>Unifiber transporte de flota · Beach Cart</v>
      </c>
      <c r="D499" s="32"/>
      <c r="E499" t="n" s="28">
        <f>IF(Tarifas!G409="","",Tarifas!G409)</f>
        <v>114.88</v>
      </c>
      <c r="F499" t="str" s="29">
        <f>IF(OR(D499="",D499=0),"",IF(E499="","PENDIENTE",ROUND(D499*E499,2)))</f>
      </c>
    </row>
    <row r="500" ht="35" customHeight="1">
      <c r="B500" t="str" s="14">
        <v>UF050023060</v>
      </c>
      <c r="C500" t="str" s="15">
        <v>Unifiber Boardbag Pro Luxury · Boardbag Pro Luxury 255 x 80</v>
      </c>
      <c r="D500" s="32"/>
      <c r="E500" t="n" s="18">
        <f>IF(Tarifas!G410="","",Tarifas!G410)</f>
        <v>131.41</v>
      </c>
      <c r="F500" t="str" s="26">
        <f>IF(OR(D500="",D500=0),"",IF(E500="","PENDIENTE",ROUND(D500*E500,2)))</f>
      </c>
    </row>
    <row r="502" ht="24" customHeight="1">
      <c r="B502" t="str" s="9">
        <v>ForSchool · Windsurf · Recambios y taller</v>
      </c>
      <c r="C502"/>
      <c r="D502"/>
      <c r="E502"/>
      <c r="F502"/>
    </row>
    <row r="503" ht="24.75" customHeight="1">
      <c r="B503" t="inlineStr" s="13">
        <is>
          <t>SKU</t>
        </is>
      </c>
      <c r="C503" t="inlineStr" s="13">
        <is>
          <t>Nombre</t>
        </is>
      </c>
      <c r="D503" t="inlineStr" s="13">
        <is>
          <t>Cantidad</t>
        </is>
      </c>
      <c r="E503" t="inlineStr" s="13">
        <is>
          <t>Precio sin IVA</t>
        </is>
      </c>
      <c r="F503" t="inlineStr" s="13">
        <is>
          <t>Suma</t>
        </is>
      </c>
    </row>
    <row r="504" ht="35" customHeight="1">
      <c r="B504" t="str" s="14">
        <v>UF059100010</v>
      </c>
      <c r="C504" t="str" s="15">
        <v>Unifiber recambios de base · Baseplate Essentials/HD/Elite Tendon Spare Part</v>
      </c>
      <c r="D504" s="32"/>
      <c r="E504" t="n" s="18">
        <f>IF(Tarifas!G411="","",Tarifas!G411)</f>
        <v>16.49</v>
      </c>
      <c r="F504" t="str" s="26">
        <f>IF(OR(D504="",D504=0),"",IF(E504="","PENDIENTE",ROUND(D504*E504,2)))</f>
      </c>
    </row>
    <row r="505" ht="35" customHeight="1">
      <c r="B505" t="str" s="27">
        <v>UF059100012</v>
      </c>
      <c r="C505" t="str" s="23">
        <v>Unifiber recambios de base · Baseplate Essentials/HD Cardan Tendon Spare Part</v>
      </c>
      <c r="D505" s="32"/>
      <c r="E505" t="n" s="28">
        <f>IF(Tarifas!G412="","",Tarifas!G412)</f>
        <v>16.49</v>
      </c>
      <c r="F505" t="str" s="29">
        <f>IF(OR(D505="",D505=0),"",IF(E505="","PENDIENTE",ROUND(D505*E505,2)))</f>
      </c>
    </row>
    <row r="506" ht="27" customHeight="1">
      <c r="B506" t="str" s="14">
        <v>UF600000024</v>
      </c>
      <c r="C506" t="str" s="15">
        <v>Unifiber recambios de base · Baseplate Brass T-Nut M8</v>
      </c>
      <c r="D506" s="32"/>
      <c r="E506" t="n" s="18">
        <f>IF(Tarifas!G413="","",Tarifas!G413)</f>
        <v>4.09</v>
      </c>
      <c r="F506" t="str" s="26">
        <f>IF(OR(D506="",D506=0),"",IF(E506="","PENDIENTE",ROUND(D506*E506,2)))</f>
      </c>
    </row>
    <row r="507" ht="35" customHeight="1">
      <c r="B507" t="str" s="27">
        <v>UFM00010140</v>
      </c>
      <c r="C507" t="str" s="23">
        <v>Unifiber recambios de base · Baseplate Essentials/HD ISO 7380 TX M6x25mm</v>
      </c>
      <c r="D507" s="32"/>
      <c r="E507" t="n" s="28">
        <f>IF(Tarifas!G414="","",Tarifas!G414)</f>
        <v>2.44</v>
      </c>
      <c r="F507" t="str" s="29">
        <f>IF(OR(D507="",D507=0),"",IF(E507="","PENDIENTE",ROUND(D507*E507,2)))</f>
      </c>
    </row>
    <row r="508" ht="35" customHeight="1">
      <c r="B508" t="str" s="14">
        <v>UF012010278</v>
      </c>
      <c r="C508" t="str" s="15">
        <v>Unifiber recambios de botavara · Essentials Modular Boom Head (RDM &amp; SDM)</v>
      </c>
      <c r="D508" s="32"/>
      <c r="E508" t="n" s="18">
        <f>IF(Tarifas!G415="","",Tarifas!G415)</f>
        <v>39.26</v>
      </c>
      <c r="F508" t="str" s="26">
        <f>IF(OR(D508="",D508=0),"",IF(E508="","PENDIENTE",ROUND(D508*E508,2)))</f>
      </c>
    </row>
    <row r="509" ht="35" customHeight="1">
      <c r="B509" t="str" s="27">
        <v>UF600020010</v>
      </c>
      <c r="C509" t="str" s="23">
        <v>Unifiber recambios de botavara · Boom Lever Aluminium Junior Boom</v>
      </c>
      <c r="D509" s="32"/>
      <c r="E509" t="n" s="28">
        <f>IF(Tarifas!G416="","",Tarifas!G416)</f>
        <v>13.18</v>
      </c>
      <c r="F509" t="str" s="29">
        <f>IF(OR(D509="",D509=0),"",IF(E509="","PENDIENTE",ROUND(D509*E509,2)))</f>
      </c>
    </row>
    <row r="510" ht="35" customHeight="1">
      <c r="B510" t="str" s="14">
        <v>UF600020015</v>
      </c>
      <c r="C510" t="str" s="15">
        <v>Unifiber recambios de botavara · Boom Lever Aluminium Experience Rig Boom</v>
      </c>
      <c r="D510" s="32"/>
      <c r="E510" t="n" s="18">
        <f>IF(Tarifas!G417="","",Tarifas!G417)</f>
        <v>13.18</v>
      </c>
      <c r="F510" t="str" s="26">
        <f>IF(OR(D510="",D510=0),"",IF(E510="","PENDIENTE",ROUND(D510*E510,2)))</f>
      </c>
    </row>
    <row r="511" ht="35" customHeight="1">
      <c r="B511" t="str" s="27">
        <v>UF590000010</v>
      </c>
      <c r="C511" t="str" s="23">
        <v>Unifiber recambios de botavara · Kids Double-Pin Locker - Black</v>
      </c>
      <c r="D511" s="32"/>
      <c r="E511" t="n" s="28">
        <f>IF(Tarifas!G418="","",Tarifas!G418)</f>
        <v>5.74</v>
      </c>
      <c r="F511" t="str" s="29">
        <f>IF(OR(D511="",D511=0),"",IF(E511="","PENDIENTE",ROUND(D511*E511,2)))</f>
      </c>
    </row>
    <row r="512" ht="35" customHeight="1">
      <c r="B512" t="str" s="14">
        <v>UF589999999</v>
      </c>
      <c r="C512" t="str" s="15">
        <v>Unifiber recambios de botavara · Collar Kids Double-Pin Locker - Black 25mm</v>
      </c>
      <c r="D512" s="32"/>
      <c r="E512" t="n" s="18">
        <f>IF(Tarifas!G419="","",Tarifas!G419)</f>
        <v>5.74</v>
      </c>
      <c r="F512" t="str" s="26">
        <f>IF(OR(D512="",D512=0),"",IF(E512="","PENDIENTE",ROUND(D512*E512,2)))</f>
      </c>
    </row>
    <row r="513" ht="35" customHeight="1">
      <c r="B513" t="str" s="27">
        <v>UF590000000</v>
      </c>
      <c r="C513" t="str" s="23">
        <v>Unifiber recambios de botavara · Collar Kids Double-Pin Locker - Black 27mm</v>
      </c>
      <c r="D513" s="32"/>
      <c r="E513" t="n" s="28">
        <f>IF(Tarifas!G420="","",Tarifas!G420)</f>
        <v>5.74</v>
      </c>
      <c r="F513" t="str" s="29">
        <f>IF(OR(D513="",D513=0),"",IF(E513="","PENDIENTE",ROUND(D513*E513,2)))</f>
      </c>
    </row>
    <row r="514" ht="35" customHeight="1">
      <c r="B514" t="str" s="14">
        <v>UF600010070</v>
      </c>
      <c r="C514" t="str" s="15">
        <v>Unifiber recambios de botavara · EVA Black Boom Grip 2 Rolls 200 x 13,5 cm x 1 mm Thick</v>
      </c>
      <c r="D514" s="32"/>
      <c r="E514" t="n" s="18">
        <f>IF(Tarifas!G421="","",Tarifas!G421)</f>
        <v>29.71</v>
      </c>
      <c r="F514" t="str" s="26">
        <f>IF(OR(D514="",D514=0),"",IF(E514="","PENDIENTE",ROUND(D514*E514,2)))</f>
      </c>
    </row>
    <row r="515" ht="35" customHeight="1">
      <c r="B515" t="str" s="27">
        <v>UF082010010</v>
      </c>
      <c r="C515" t="str" s="23">
        <v>Unifiber recambios de extensión · Kid Rig Adapter (Stiffer Improved Version)</v>
      </c>
      <c r="D515" s="32"/>
      <c r="E515" t="n" s="28">
        <f>IF(Tarifas!G422="","",Tarifas!G422)</f>
        <v>12.36</v>
      </c>
      <c r="F515" t="str" s="29">
        <f>IF(OR(D515="",D515=0),"",IF(E515="","PENDIENTE",ROUND(D515*E515,2)))</f>
      </c>
    </row>
    <row r="516" ht="35" customHeight="1">
      <c r="B516" t="str" s="14">
        <v>UF600000038</v>
      </c>
      <c r="C516" t="str" s="15">
        <v>Unifiber recambios de extensión · Mast Extension Push-Button + Spring (Red or Black) Modified</v>
      </c>
      <c r="D516" s="32"/>
      <c r="E516" t="n" s="18">
        <f>IF(Tarifas!G423="","",Tarifas!G423)</f>
        <v>4.92</v>
      </c>
      <c r="F516" t="str" s="26">
        <f>IF(OR(D516="",D516=0),"",IF(E516="","PENDIENTE",ROUND(D516*E516,2)))</f>
      </c>
    </row>
    <row r="517" ht="35" customHeight="1">
      <c r="B517" t="str" s="27">
        <v>UF600000040</v>
      </c>
      <c r="C517" t="str" s="23">
        <v>Unifiber recambios de extensión · Ring + Pin RDM Extension</v>
      </c>
      <c r="D517" s="32"/>
      <c r="E517" t="n" s="28">
        <f>IF(Tarifas!G424="","",Tarifas!G424)</f>
        <v>5.74</v>
      </c>
      <c r="F517" t="str" s="29">
        <f>IF(OR(D517="",D517=0),"",IF(E517="","PENDIENTE",ROUND(D517*E517,2)))</f>
      </c>
    </row>
    <row r="518" ht="35" customHeight="1">
      <c r="B518" t="str" s="14">
        <v>UF600000045</v>
      </c>
      <c r="C518" t="str" s="15">
        <v>Unifiber recambios de extensión · Adjustable Collar SDM Basic Extension</v>
      </c>
      <c r="D518" s="32"/>
      <c r="E518" t="n" s="18">
        <f>IF(Tarifas!G425="","",Tarifas!G425)</f>
        <v>5.74</v>
      </c>
      <c r="F518" t="str" s="26">
        <f>IF(OR(D518="",D518=0),"",IF(E518="","PENDIENTE",ROUND(D518*E518,2)))</f>
      </c>
    </row>
    <row r="519" ht="35" customHeight="1">
      <c r="B519" t="str" s="27">
        <v>UF052020072</v>
      </c>
      <c r="C519" t="str" s="23">
        <v>Unifiber EVA de reposición · Footpad Sheet 80 x 60 cm Diamond Groove White</v>
      </c>
      <c r="D519" s="32"/>
      <c r="E519" t="n" s="28">
        <f>IF(Tarifas!G426="","",Tarifas!G426)</f>
        <v>41.28</v>
      </c>
      <c r="F519" t="str" s="29">
        <f>IF(OR(D519="",D519=0),"",IF(E519="","PENDIENTE",ROUND(D519*E519,2)))</f>
      </c>
    </row>
    <row r="520" ht="35" customHeight="1">
      <c r="B520" t="str" s="14">
        <v>UF052020075</v>
      </c>
      <c r="C520" t="str" s="15">
        <v>Unifiber EVA de reposición · Footpad Sheet 80 x 60 cm Diamond Groove Black</v>
      </c>
      <c r="D520" s="32"/>
      <c r="E520" t="n" s="18">
        <f>IF(Tarifas!G427="","",Tarifas!G427)</f>
        <v>41.28</v>
      </c>
      <c r="F520" t="str" s="26">
        <f>IF(OR(D520="",D520=0),"",IF(E520="","PENDIENTE",ROUND(D520*E520,2)))</f>
      </c>
    </row>
    <row r="521" ht="35" customHeight="1">
      <c r="B521" t="str" s="27">
        <v>UF600000099</v>
      </c>
      <c r="C521" t="str" s="23">
        <v>Unifiber reparación de vela · 10 tiras transparentes de 100 × 15 cm</v>
      </c>
      <c r="D521" s="32"/>
      <c r="E521" t="n" s="28">
        <f>IF(Tarifas!G428="","",Tarifas!G428)</f>
        <v>28.88</v>
      </c>
      <c r="F521" t="str" s="29">
        <f>IF(OR(D521="",D521=0),"",IF(E521="","PENDIENTE",ROUND(D521*E521,2)))</f>
      </c>
    </row>
    <row r="522" ht="27" customHeight="1">
      <c r="B522" t="str" s="14">
        <v>UF052020040</v>
      </c>
      <c r="C522" t="str" s="15">
        <v>Unifiber Footstrap Comfort · Footstrap Comfort</v>
      </c>
      <c r="D522" s="32"/>
      <c r="E522" t="n" s="18">
        <f>IF(Tarifas!G429="","",Tarifas!G429)</f>
        <v>16.49</v>
      </c>
      <c r="F522" t="str" s="26">
        <f>IF(OR(D522="",D522=0),"",IF(E522="","PENDIENTE",ROUND(D522*E522,2)))</f>
      </c>
    </row>
    <row r="523" ht="35" customHeight="1">
      <c r="B523" t="str" s="27">
        <v>UF060070003</v>
      </c>
      <c r="C523" t="str" s="23">
        <v>Unifiber herramientas de tensado · Downhaul Tool Basic Stainless Steel</v>
      </c>
      <c r="D523" s="32"/>
      <c r="E523" t="n" s="28">
        <f>IF(Tarifas!G430="","",Tarifas!G430)</f>
        <v>16.49</v>
      </c>
      <c r="F523" t="str" s="29">
        <f>IF(OR(D523="",D523=0),"",IF(E523="","PENDIENTE",ROUND(D523*E523,2)))</f>
      </c>
    </row>
    <row r="524" ht="35" customHeight="1">
      <c r="B524" t="str" s="14">
        <v>UF060070007</v>
      </c>
      <c r="C524" t="str" s="15">
        <v>Unifiber herramientas de tensado · Downhaul Tool HD With Stainless Steel Integr. Philips Head</v>
      </c>
      <c r="D524" s="32"/>
      <c r="E524" t="n" s="18">
        <f>IF(Tarifas!G431="","",Tarifas!G431)</f>
        <v>28.88</v>
      </c>
      <c r="F524" t="str" s="26">
        <f>IF(OR(D524="",D524=0),"",IF(E524="","PENDIENTE",ROUND(D524*E524,2)))</f>
      </c>
    </row>
    <row r="525" ht="22.5" customHeight="1">
      <c r="A525" s="1"/>
      <c r="B525" s="1"/>
      <c r="C525" s="1"/>
      <c r="D525" s="1"/>
      <c r="E525" s="1"/>
      <c r="F525" s="1"/>
    </row>
    <row r="526" ht="31.5" customHeight="1">
      <c r="A526" s="1"/>
      <c r="B526" s="33" t="s">
        <v>493</v>
      </c>
      <c r="F526" t="n" s="34">
        <f>IF(COUNTIFS(F27:F524,"PENDIENTE")&gt;0,"PENDIENTE",SUM(F27:F524))</f>
        <v>0</v>
      </c>
    </row>
    <row r="527" ht="22.5" customHeight="1">
      <c r="A527" s="1"/>
      <c r="B527" s="35" t="s">
        <v>495</v>
      </c>
      <c r="F527" t="n" s="36">
        <f>SUM(D34:D35)</f>
        <v>0</v>
      </c>
    </row>
    <row r="528" ht="22.5" customHeight="1">
      <c r="A528" s="1"/>
      <c r="B528" s="35" t="s">
        <v>496</v>
      </c>
      <c r="F528" t="n" s="37">
        <f>IF(F527&gt;10,ROUND(SUM(F34:F35)*10%,2),0)</f>
        <v>0</v>
      </c>
    </row>
    <row r="529" ht="22.5" customHeight="1">
      <c r="A529" s="1"/>
      <c r="B529" s="1"/>
      <c r="C529" s="1"/>
      <c r="D529" s="1"/>
      <c r="E529" s="1"/>
      <c r="F529" s="1"/>
    </row>
    <row r="530" ht="31.5" customHeight="1">
      <c r="A530" s="1"/>
      <c r="B530" s="33" t="s">
        <v>497</v>
      </c>
      <c r="F530" t="n" s="34">
        <f>IF(F526="PENDIENTE","PENDIENTE",F526-F528)</f>
        <v>0</v>
      </c>
    </row>
    <row r="531" ht="22.5" customHeight="1">
      <c r="A531" s="1"/>
      <c r="B531" s="1"/>
      <c r="C531" s="1"/>
      <c r="D531" s="1"/>
      <c r="E531" s="1"/>
      <c r="F531" s="1"/>
    </row>
    <row r="532" ht="22.5" customHeight="1">
      <c r="A532" s="1"/>
      <c r="B532" s="11" t="s">
        <v>498</v>
      </c>
    </row>
    <row r="533" ht="22.5" customHeight="1">
      <c r="A533" s="1"/>
      <c r="B533" s="11" t="s">
        <v>499</v>
      </c>
    </row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B2:C4"/>
    <mergeCell ref="D2:F4"/>
    <mergeCell ref="E5:F5"/>
    <mergeCell ref="B7:F7"/>
    <mergeCell ref="E8:F8"/>
    <mergeCell ref="E9:F9"/>
    <mergeCell ref="C10:F10"/>
    <mergeCell ref="C11:F11"/>
    <mergeCell ref="E12:F12"/>
    <mergeCell ref="E13:F13"/>
    <mergeCell ref="B15:F15"/>
    <mergeCell ref="E16:F16"/>
    <mergeCell ref="C17:F17"/>
    <mergeCell ref="E18:F18"/>
    <mergeCell ref="E19:F19"/>
    <mergeCell ref="C20:F20"/>
    <mergeCell ref="B22:F22"/>
    <mergeCell ref="B23:F23"/>
    <mergeCell ref="B24:F24"/>
    <mergeCell ref="B25:F25"/>
    <mergeCell ref="B32:F32"/>
    <mergeCell ref="B37:F37"/>
    <mergeCell ref="B48:F48"/>
    <mergeCell ref="B69:F69"/>
    <mergeCell ref="B120:F120"/>
    <mergeCell ref="B166:F166"/>
    <mergeCell ref="B189:F189"/>
    <mergeCell ref="B201:F201"/>
    <mergeCell ref="B526:E526"/>
    <mergeCell ref="B527:E527"/>
    <mergeCell ref="B528:E528"/>
    <mergeCell ref="B530:E530"/>
    <mergeCell ref="B532:F532"/>
    <mergeCell ref="B533:F533"/>
    <mergeCell ref="B209:F209"/>
    <mergeCell ref="B222:F222"/>
    <mergeCell ref="B230:F230"/>
    <mergeCell ref="B246:F246"/>
    <mergeCell ref="B256:F256"/>
    <mergeCell ref="B265:F265"/>
    <mergeCell ref="B272:F272"/>
    <mergeCell ref="B276:F276"/>
    <mergeCell ref="B325:F325"/>
    <mergeCell ref="B343:F343"/>
    <mergeCell ref="B386:F386"/>
    <mergeCell ref="B415:F415"/>
    <mergeCell ref="B431:F431"/>
    <mergeCell ref="B455:F455"/>
    <mergeCell ref="B476:F476"/>
    <mergeCell ref="B490:F490"/>
    <mergeCell ref="B502:F502"/>
  </mergeCells>
  <conditionalFormatting sqref="F27:F524">
    <cfRule type="containsText" dxfId="0" priority="1" operator="containsText" text="PENDIENTE">
      <formula>NOT(ISERROR(SEARCH(("PENDIENTE"),(F27))))</formula>
    </cfRule>
  </conditionalFormatting>
  <conditionalFormatting sqref="F530">
    <cfRule type="containsText" dxfId="0" priority="2" operator="containsText" text="PENDIENTE">
      <formula>NOT(ISERROR(SEARCH(("PENDIENTE"),(F530))))</formula>
    </cfRule>
  </conditionalFormatting>
  <dataValidations>
    <dataValidation type="decimal" operator="greaterThanOrEqual" allowBlank="1" sqref="D27:D30 D34:D35 D39:D46 D50:D67 D71:D118 D122:D164 D168:D187 D191:D199 D203:D207 D211:D220 D224:D228 D232:D244 D248:D254 D258:D263 D267:D270 D274 D278:D323 D327:D341 D345:D384 D388:D413 D417:D429 D433:D453 D457:D474 D478:D488 D492:D500 D504:D524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0"/>
  <cols>
    <col customWidth="1" min="1" max="1" width="16.38"/>
    <col customWidth="1" min="2" max="2" width="47.0"/>
    <col customWidth="1" min="3" max="3" width="11.0"/>
    <col customWidth="1" min="4" max="4" width="23.38"/>
    <col customWidth="1" min="5" max="7" width="15.0"/>
    <col customWidth="1" min="8" max="8" width="36.0"/>
    <col customWidth="1" min="9" max="9" width="28.38"/>
    <col customWidth="1" min="10" max="10" width="12.38"/>
    <col customWidth="1" min="11" max="26" width="14.38"/>
  </cols>
  <sheetData>
    <row r="1" ht="25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25.5" customHeight="1">
      <c r="A2" s="2" t="s">
        <v>0</v>
      </c>
    </row>
    <row r="3" ht="25.5" customHeight="1">
      <c r="A3" s="1" t="s">
        <v>1</v>
      </c>
      <c r="B3" s="10">
        <v>0.21</v>
      </c>
      <c r="C3" s="1" t="s">
        <v>22</v>
      </c>
    </row>
    <row r="4" ht="22.5" customHeight="1">
      <c r="A4" s="11" t="s">
        <v>23</v>
      </c>
    </row>
    <row r="5" ht="22.5" customHeight="1">
      <c r="A5" s="11" t="str">
        <f>IF(OR($B$7="Pendiente",AND($B$7="Sí",NOT(ISNUMBER($B$3)))),"Las tarifas netas de ForSchool y ForNaval están vacías hasta confirmar el IVA. Barcos: precios netos aprobados.","Las tarifas netas se calculan según el tratamiento de IVA seleccionado. Barcos: precios netos aprobados.")</f>
        <v>Las tarifas netas se calculan según el tratamiento de IVA seleccionado. Barcos: precios netos aprobados.</v>
      </c>
    </row>
    <row r="6" ht="22.5" customHeight="1">
      <c r="A6" s="11" t="s">
        <v>34</v>
      </c>
    </row>
    <row r="7" ht="33.0" customHeight="1">
      <c r="A7" s="15" t="s">
        <v>35</v>
      </c>
      <c r="B7" s="17" t="s">
        <v>36</v>
      </c>
      <c r="C7" s="15" t="s">
        <v>37</v>
      </c>
    </row>
    <row r="8" ht="33.0" customHeight="1">
      <c r="A8" s="19" t="s">
        <v>27</v>
      </c>
      <c r="B8" s="19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30</v>
      </c>
      <c r="H8" s="19" t="s">
        <v>43</v>
      </c>
      <c r="I8" s="19" t="s">
        <v>44</v>
      </c>
      <c r="J8" s="19" t="s">
        <v>45</v>
      </c>
    </row>
    <row r="9" ht="42.0" customHeight="1">
      <c r="A9" s="1" t="s">
        <v>32</v>
      </c>
      <c r="B9" s="15" t="s">
        <v>33</v>
      </c>
      <c r="C9" s="1" t="s">
        <v>46</v>
      </c>
      <c r="D9" s="15" t="s">
        <v>47</v>
      </c>
      <c r="E9" s="20"/>
      <c r="F9" s="15" t="s">
        <v>48</v>
      </c>
      <c r="G9" s="20">
        <v>7900.0</v>
      </c>
      <c r="H9" s="15" t="s">
        <v>49</v>
      </c>
      <c r="I9" s="15" t="s">
        <v>50</v>
      </c>
      <c r="J9" s="21">
        <v>46296.0</v>
      </c>
    </row>
    <row r="10" ht="42.0" customHeight="1">
      <c r="A10" s="22" t="s">
        <v>32</v>
      </c>
      <c r="B10" s="23" t="s">
        <v>51</v>
      </c>
      <c r="C10" s="22" t="s">
        <v>46</v>
      </c>
      <c r="D10" s="23" t="s">
        <v>47</v>
      </c>
      <c r="E10" s="24"/>
      <c r="F10" s="23" t="s">
        <v>48</v>
      </c>
      <c r="G10" s="24">
        <v>1100.0</v>
      </c>
      <c r="H10" s="23" t="s">
        <v>49</v>
      </c>
      <c r="I10" s="23" t="s">
        <v>50</v>
      </c>
      <c r="J10" s="25">
        <v>46296.0</v>
      </c>
    </row>
    <row r="11" ht="42.0" customHeight="1">
      <c r="A11" s="1" t="s">
        <v>32</v>
      </c>
      <c r="B11" s="15" t="s">
        <v>52</v>
      </c>
      <c r="C11" s="1" t="s">
        <v>46</v>
      </c>
      <c r="D11" s="15" t="s">
        <v>47</v>
      </c>
      <c r="E11" s="20"/>
      <c r="F11" s="15" t="s">
        <v>48</v>
      </c>
      <c r="G11" s="20">
        <v>500.0</v>
      </c>
      <c r="H11" s="15" t="s">
        <v>49</v>
      </c>
      <c r="I11" s="15" t="s">
        <v>50</v>
      </c>
      <c r="J11" s="21">
        <v>46296.0</v>
      </c>
    </row>
    <row r="12" ht="42.0" customHeight="1">
      <c r="A12" s="22" t="s">
        <v>32</v>
      </c>
      <c r="B12" s="23" t="s">
        <v>53</v>
      </c>
      <c r="C12" s="22" t="s">
        <v>46</v>
      </c>
      <c r="D12" s="23" t="s">
        <v>47</v>
      </c>
      <c r="E12" s="24"/>
      <c r="F12" s="23" t="s">
        <v>48</v>
      </c>
      <c r="G12" s="24">
        <v>400.0</v>
      </c>
      <c r="H12" s="23" t="s">
        <v>49</v>
      </c>
      <c r="I12" s="23" t="s">
        <v>50</v>
      </c>
      <c r="J12" s="25">
        <v>46296.0</v>
      </c>
    </row>
    <row r="13" ht="63.75" customHeight="1">
      <c r="A13" s="1" t="s">
        <v>32</v>
      </c>
      <c r="B13" s="15" t="s">
        <v>54</v>
      </c>
      <c r="C13" s="1" t="s">
        <v>46</v>
      </c>
      <c r="D13" s="15" t="s">
        <v>55</v>
      </c>
      <c r="E13" s="20"/>
      <c r="F13" s="15" t="s">
        <v>56</v>
      </c>
      <c r="G13" s="20">
        <v>2019.72</v>
      </c>
      <c r="H13" s="15" t="s">
        <v>57</v>
      </c>
      <c r="I13" s="15" t="s">
        <v>58</v>
      </c>
      <c r="J13" s="21">
        <v>46296.0</v>
      </c>
    </row>
    <row r="14" ht="63.75" customHeight="1">
      <c r="A14" s="22" t="s">
        <v>32</v>
      </c>
      <c r="B14" s="23" t="s">
        <v>59</v>
      </c>
      <c r="C14" s="22" t="s">
        <v>46</v>
      </c>
      <c r="D14" s="23" t="s">
        <v>55</v>
      </c>
      <c r="E14" s="24"/>
      <c r="F14" s="23" t="s">
        <v>56</v>
      </c>
      <c r="G14" s="24">
        <v>1300.78</v>
      </c>
      <c r="H14" s="23" t="s">
        <v>60</v>
      </c>
      <c r="I14" s="23" t="s">
        <v>61</v>
      </c>
      <c r="J14" s="25">
        <v>46296.0</v>
      </c>
    </row>
    <row r="15" ht="42.0" customHeight="1">
      <c r="A15" s="1" t="s">
        <v>62</v>
      </c>
      <c r="B15" s="15" t="s">
        <v>63</v>
      </c>
      <c r="C15" s="1" t="s">
        <v>64</v>
      </c>
      <c r="D15" s="15" t="s">
        <v>65</v>
      </c>
      <c r="E15" s="20">
        <v>389.0</v>
      </c>
      <c r="F15" s="15" t="str">
        <f t="shared" ref="F15:F211" si="1">IF($B$7="No","Sin IVA confirmado",IF(AND($B$7="Sí",ISNUMBER($B$3)),"IVA incluido","IVA pendiente"))</f>
        <v>IVA incluido</v>
      </c>
      <c r="G15" s="20">
        <f t="shared" ref="G15:G211" si="2">IF($B$7="No",E15,IF(AND($B$7="Sí",ISNUMBER($B$3)),ROUND(E15/(1+$B$3),2),""))</f>
        <v>321.49</v>
      </c>
      <c r="H15" s="30" t="str">
        <f>HYPERLINK("https://forsailors.es/product-page/carro-de-varada-hansa-303/","Ficha oficial del producto")</f>
        <v>Ficha oficial del producto</v>
      </c>
      <c r="I15" s="15" t="s">
        <v>67</v>
      </c>
      <c r="J15" s="21">
        <v>46296.0</v>
      </c>
    </row>
    <row r="16" ht="42.0" customHeight="1">
      <c r="A16" s="22" t="s">
        <v>68</v>
      </c>
      <c r="B16" s="23" t="s">
        <v>69</v>
      </c>
      <c r="C16" s="22" t="s">
        <v>64</v>
      </c>
      <c r="D16" s="23" t="s">
        <v>65</v>
      </c>
      <c r="E16" s="24">
        <v>423.79</v>
      </c>
      <c r="F16" s="23" t="str">
        <f t="shared" si="1"/>
        <v>IVA incluido</v>
      </c>
      <c r="G16" s="24">
        <f t="shared" si="2"/>
        <v>350.24</v>
      </c>
      <c r="H16" s="31" t="str">
        <f>HYPERLINK("https://forsailors.es/product-page/carro-de-varada-ilca-laser-set-up-trd-apoyo-seguro-y-montaje-facil/","Ficha oficial del producto")</f>
        <v>Ficha oficial del producto</v>
      </c>
      <c r="I16" s="23" t="s">
        <v>67</v>
      </c>
      <c r="J16" s="25">
        <v>46296.0</v>
      </c>
    </row>
    <row r="17" ht="42.0" customHeight="1">
      <c r="A17" s="1" t="s">
        <v>70</v>
      </c>
      <c r="B17" s="15" t="s">
        <v>71</v>
      </c>
      <c r="C17" s="1" t="s">
        <v>64</v>
      </c>
      <c r="D17" s="15" t="s">
        <v>65</v>
      </c>
      <c r="E17" s="20">
        <v>303.19</v>
      </c>
      <c r="F17" s="15" t="str">
        <f t="shared" si="1"/>
        <v>IVA incluido</v>
      </c>
      <c r="G17" s="20">
        <f t="shared" si="2"/>
        <v>250.57</v>
      </c>
      <c r="H17" s="30" t="str">
        <f>HYPERLINK("https://forsailors.es/product-page/carro-de-varada-optimist-ex1076/","Ficha oficial del producto")</f>
        <v>Ficha oficial del producto</v>
      </c>
      <c r="I17" s="15" t="s">
        <v>73</v>
      </c>
      <c r="J17" s="21">
        <v>46296.0</v>
      </c>
    </row>
    <row r="18" ht="42.0" customHeight="1">
      <c r="A18" s="22" t="s">
        <v>74</v>
      </c>
      <c r="B18" s="23" t="s">
        <v>75</v>
      </c>
      <c r="C18" s="22" t="s">
        <v>64</v>
      </c>
      <c r="D18" s="23" t="s">
        <v>65</v>
      </c>
      <c r="E18" s="24">
        <v>243.65</v>
      </c>
      <c r="F18" s="23" t="str">
        <f t="shared" si="1"/>
        <v>IVA incluido</v>
      </c>
      <c r="G18" s="24">
        <f t="shared" si="2"/>
        <v>201.36</v>
      </c>
      <c r="H18" s="31" t="str">
        <f>HYPERLINK("https://forsailors.es/product-page/carro-de-varada-optimist-practic-tdr-desmontable/","Ficha oficial del producto")</f>
        <v>Ficha oficial del producto</v>
      </c>
      <c r="I18" s="23" t="s">
        <v>73</v>
      </c>
      <c r="J18" s="25">
        <v>46296.0</v>
      </c>
    </row>
    <row r="19" ht="42.0" customHeight="1">
      <c r="A19" s="1" t="s">
        <v>76</v>
      </c>
      <c r="B19" s="15" t="s">
        <v>77</v>
      </c>
      <c r="C19" s="1" t="s">
        <v>64</v>
      </c>
      <c r="D19" s="15" t="s">
        <v>65</v>
      </c>
      <c r="E19" s="20">
        <v>395.0</v>
      </c>
      <c r="F19" s="15" t="str">
        <f t="shared" si="1"/>
        <v>IVA incluido</v>
      </c>
      <c r="G19" s="20">
        <f t="shared" si="2"/>
        <v>326.45</v>
      </c>
      <c r="H19" s="30" t="str">
        <f>HYPERLINK("https://forsailors.es/product-page/carro-de-varada-practic-ilca-laser-trd-ligero-y-resistente/","Ficha oficial del producto")</f>
        <v>Ficha oficial del producto</v>
      </c>
      <c r="I19" s="15" t="s">
        <v>67</v>
      </c>
      <c r="J19" s="21">
        <v>46296.0</v>
      </c>
    </row>
    <row r="20" ht="42.0" customHeight="1">
      <c r="A20" s="22" t="s">
        <v>78</v>
      </c>
      <c r="B20" s="23" t="s">
        <v>79</v>
      </c>
      <c r="C20" s="22" t="s">
        <v>64</v>
      </c>
      <c r="D20" s="23" t="s">
        <v>65</v>
      </c>
      <c r="E20" s="24">
        <v>250.94</v>
      </c>
      <c r="F20" s="23" t="str">
        <f t="shared" si="1"/>
        <v>IVA incluido</v>
      </c>
      <c r="G20" s="24">
        <f t="shared" si="2"/>
        <v>207.39</v>
      </c>
      <c r="H20" s="31" t="str">
        <f>HYPERLINK("https://forsailors.es/product-page/carro-optimist-con-cincha/","Ficha oficial del producto")</f>
        <v>Ficha oficial del producto</v>
      </c>
      <c r="I20" s="23" t="s">
        <v>67</v>
      </c>
      <c r="J20" s="25">
        <v>46296.0</v>
      </c>
    </row>
    <row r="21" ht="42.0" customHeight="1">
      <c r="A21" s="1" t="s">
        <v>80</v>
      </c>
      <c r="B21" s="15" t="s">
        <v>81</v>
      </c>
      <c r="C21" s="1" t="s">
        <v>64</v>
      </c>
      <c r="D21" s="15" t="s">
        <v>65</v>
      </c>
      <c r="E21" s="20">
        <v>4.0</v>
      </c>
      <c r="F21" s="15" t="str">
        <f t="shared" si="1"/>
        <v>IVA incluido</v>
      </c>
      <c r="G21" s="20">
        <f t="shared" si="2"/>
        <v>3.31</v>
      </c>
      <c r="H21" s="30" t="str">
        <f>HYPERLINK("https://forsailors.es/product-page/clip-sujetar-rueda-optiparts-ex10791/","Ficha oficial del producto")</f>
        <v>Ficha oficial del producto</v>
      </c>
      <c r="I21" s="15" t="s">
        <v>82</v>
      </c>
      <c r="J21" s="21">
        <v>46296.0</v>
      </c>
    </row>
    <row r="22" ht="42.0" customHeight="1">
      <c r="A22" s="22" t="s">
        <v>83</v>
      </c>
      <c r="B22" s="23" t="s">
        <v>84</v>
      </c>
      <c r="C22" s="22" t="s">
        <v>64</v>
      </c>
      <c r="D22" s="23" t="s">
        <v>65</v>
      </c>
      <c r="E22" s="24">
        <v>29.45</v>
      </c>
      <c r="F22" s="23" t="str">
        <f t="shared" si="1"/>
        <v>IVA incluido</v>
      </c>
      <c r="G22" s="24">
        <f t="shared" si="2"/>
        <v>24.34</v>
      </c>
      <c r="H22" s="31" t="str">
        <f>HYPERLINK("https://forsailors.es/product-page/rueda-inpinchable-universal-para-carros-de-varada-eje-o-25-mm/","Ficha oficial del producto")</f>
        <v>Ficha oficial del producto</v>
      </c>
      <c r="I22" s="23" t="s">
        <v>67</v>
      </c>
      <c r="J22" s="25">
        <v>46296.0</v>
      </c>
    </row>
    <row r="23" ht="42.0" customHeight="1">
      <c r="A23" s="1" t="s">
        <v>85</v>
      </c>
      <c r="B23" s="15" t="s">
        <v>86</v>
      </c>
      <c r="C23" s="1" t="s">
        <v>64</v>
      </c>
      <c r="D23" s="15" t="s">
        <v>87</v>
      </c>
      <c r="E23" s="20">
        <v>79.9</v>
      </c>
      <c r="F23" s="15" t="str">
        <f t="shared" si="1"/>
        <v>IVA incluido</v>
      </c>
      <c r="G23" s="20">
        <f t="shared" si="2"/>
        <v>66.03</v>
      </c>
      <c r="H23" s="30" t="str">
        <f>HYPERLINK("https://forsailors.es/product-page/bolsa-de-palos-y-vela-acolchada-para-optimist-ex1068/","Ficha oficial del producto")</f>
        <v>Ficha oficial del producto</v>
      </c>
      <c r="I23" s="15" t="s">
        <v>73</v>
      </c>
      <c r="J23" s="21">
        <v>46296.0</v>
      </c>
    </row>
    <row r="24" ht="42.0" customHeight="1">
      <c r="A24" s="22" t="s">
        <v>88</v>
      </c>
      <c r="B24" s="23" t="s">
        <v>89</v>
      </c>
      <c r="C24" s="22" t="s">
        <v>64</v>
      </c>
      <c r="D24" s="23" t="s">
        <v>87</v>
      </c>
      <c r="E24" s="24">
        <v>52.99</v>
      </c>
      <c r="F24" s="23" t="str">
        <f t="shared" si="1"/>
        <v>IVA incluido</v>
      </c>
      <c r="G24" s="24">
        <f t="shared" si="2"/>
        <v>43.79</v>
      </c>
      <c r="H24" s="31" t="str">
        <f>HYPERLINK("https://forsailors.es/product-page/funda-de-palos-resistente-optimist-rig-travel-bag-ex1063/","Ficha oficial del producto")</f>
        <v>Ficha oficial del producto</v>
      </c>
      <c r="I24" s="23" t="s">
        <v>82</v>
      </c>
      <c r="J24" s="25">
        <v>46296.0</v>
      </c>
    </row>
    <row r="25" ht="42.0" customHeight="1">
      <c r="A25" s="1" t="s">
        <v>90</v>
      </c>
      <c r="B25" s="15" t="s">
        <v>91</v>
      </c>
      <c r="C25" s="1" t="s">
        <v>64</v>
      </c>
      <c r="D25" s="15" t="s">
        <v>87</v>
      </c>
      <c r="E25" s="20">
        <v>185.0</v>
      </c>
      <c r="F25" s="15" t="str">
        <f t="shared" si="1"/>
        <v>IVA incluido</v>
      </c>
      <c r="G25" s="20">
        <f t="shared" si="2"/>
        <v>152.89</v>
      </c>
      <c r="H25" s="30" t="str">
        <f>HYPERLINK("https://forsailors.es/product-page/funda-casco-ilca-devoti-ilca-bottom-cover-devoti/?attribute_color=azul","Ficha oficial del producto")</f>
        <v>Ficha oficial del producto</v>
      </c>
      <c r="I25" s="15" t="s">
        <v>67</v>
      </c>
      <c r="J25" s="21">
        <v>46296.0</v>
      </c>
    </row>
    <row r="26" ht="42.0" customHeight="1">
      <c r="A26" s="22" t="s">
        <v>93</v>
      </c>
      <c r="B26" s="23" t="s">
        <v>94</v>
      </c>
      <c r="C26" s="22" t="s">
        <v>64</v>
      </c>
      <c r="D26" s="23" t="s">
        <v>87</v>
      </c>
      <c r="E26" s="24">
        <v>185.0</v>
      </c>
      <c r="F26" s="23" t="str">
        <f t="shared" si="1"/>
        <v>IVA incluido</v>
      </c>
      <c r="G26" s="24">
        <f t="shared" si="2"/>
        <v>152.89</v>
      </c>
      <c r="H26" s="31" t="str">
        <f>HYPERLINK("https://forsailors.es/product-page/funda-casco-ilca-devoti-ilca-bottom-cover-devoti/?attribute_color=gris","Ficha oficial del producto")</f>
        <v>Ficha oficial del producto</v>
      </c>
      <c r="I26" s="23" t="s">
        <v>73</v>
      </c>
      <c r="J26" s="25">
        <v>46296.0</v>
      </c>
    </row>
    <row r="27" ht="42.0" customHeight="1">
      <c r="A27" s="1" t="s">
        <v>95</v>
      </c>
      <c r="B27" s="15" t="s">
        <v>96</v>
      </c>
      <c r="C27" s="1" t="s">
        <v>64</v>
      </c>
      <c r="D27" s="15" t="s">
        <v>87</v>
      </c>
      <c r="E27" s="20">
        <v>132.45</v>
      </c>
      <c r="F27" s="15" t="str">
        <f t="shared" si="1"/>
        <v>IVA incluido</v>
      </c>
      <c r="G27" s="20">
        <f t="shared" si="2"/>
        <v>109.46</v>
      </c>
      <c r="H27" s="30" t="str">
        <f>HYPERLINK("https://forsailors.es/product-page/funda-casco-optimist-sd-optiparts-ex1091s-version-economica/","Ficha oficial del producto")</f>
        <v>Ficha oficial del producto</v>
      </c>
      <c r="I27" s="15" t="s">
        <v>97</v>
      </c>
      <c r="J27" s="21">
        <v>46296.0</v>
      </c>
    </row>
    <row r="28" ht="42.0" customHeight="1">
      <c r="A28" s="22" t="s">
        <v>98</v>
      </c>
      <c r="B28" s="23" t="s">
        <v>99</v>
      </c>
      <c r="C28" s="22" t="s">
        <v>64</v>
      </c>
      <c r="D28" s="23" t="s">
        <v>87</v>
      </c>
      <c r="E28" s="24">
        <v>269.9</v>
      </c>
      <c r="F28" s="23" t="str">
        <f t="shared" si="1"/>
        <v>IVA incluido</v>
      </c>
      <c r="G28" s="24">
        <f t="shared" si="2"/>
        <v>223.06</v>
      </c>
      <c r="H28" s="31" t="str">
        <f>HYPERLINK("https://forsailors.es/product-page/funda-casco-optimist-transpirable-optiparts-ex1091/","Ficha oficial del producto")</f>
        <v>Ficha oficial del producto</v>
      </c>
      <c r="I28" s="23" t="s">
        <v>97</v>
      </c>
      <c r="J28" s="25">
        <v>46296.0</v>
      </c>
    </row>
    <row r="29" ht="42.0" customHeight="1">
      <c r="A29" s="1" t="s">
        <v>100</v>
      </c>
      <c r="B29" s="15" t="s">
        <v>101</v>
      </c>
      <c r="C29" s="1" t="s">
        <v>64</v>
      </c>
      <c r="D29" s="15" t="s">
        <v>87</v>
      </c>
      <c r="E29" s="20">
        <v>164.45</v>
      </c>
      <c r="F29" s="15" t="str">
        <f t="shared" si="1"/>
        <v>IVA incluido</v>
      </c>
      <c r="G29" s="20">
        <f t="shared" si="2"/>
        <v>135.91</v>
      </c>
      <c r="H29" s="30" t="str">
        <f>HYPERLINK("https://forsailors.es/product-page/funda-casco-sd-para-laser-e-ilca-ex2044/","Ficha oficial del producto")</f>
        <v>Ficha oficial del producto</v>
      </c>
      <c r="I29" s="15" t="s">
        <v>82</v>
      </c>
      <c r="J29" s="21">
        <v>46296.0</v>
      </c>
    </row>
    <row r="30" ht="42.0" customHeight="1">
      <c r="A30" s="22" t="s">
        <v>102</v>
      </c>
      <c r="B30" s="23" t="s">
        <v>103</v>
      </c>
      <c r="C30" s="22" t="s">
        <v>64</v>
      </c>
      <c r="D30" s="23" t="s">
        <v>87</v>
      </c>
      <c r="E30" s="24">
        <v>185.0</v>
      </c>
      <c r="F30" s="23" t="str">
        <f t="shared" si="1"/>
        <v>IVA incluido</v>
      </c>
      <c r="G30" s="24">
        <f t="shared" si="2"/>
        <v>152.89</v>
      </c>
      <c r="H30" s="31" t="str">
        <f>HYPERLINK("https://forsailors.es/product-page/funda-cubierta-ilca-devoti-ilca-bottom-cover-devoti/?attribute_color=azul","Ficha oficial del producto")</f>
        <v>Ficha oficial del producto</v>
      </c>
      <c r="I30" s="23" t="s">
        <v>67</v>
      </c>
      <c r="J30" s="25">
        <v>46296.0</v>
      </c>
    </row>
    <row r="31" ht="42.0" customHeight="1">
      <c r="A31" s="1" t="s">
        <v>104</v>
      </c>
      <c r="B31" s="15" t="s">
        <v>105</v>
      </c>
      <c r="C31" s="1" t="s">
        <v>64</v>
      </c>
      <c r="D31" s="15" t="s">
        <v>87</v>
      </c>
      <c r="E31" s="20">
        <v>185.0</v>
      </c>
      <c r="F31" s="15" t="str">
        <f t="shared" si="1"/>
        <v>IVA incluido</v>
      </c>
      <c r="G31" s="20">
        <f t="shared" si="2"/>
        <v>152.89</v>
      </c>
      <c r="H31" s="30" t="str">
        <f>HYPERLINK("https://forsailors.es/product-page/funda-cubierta-ilca-devoti-ilca-bottom-cover-devoti/?attribute_color=gris","Ficha oficial del producto")</f>
        <v>Ficha oficial del producto</v>
      </c>
      <c r="I31" s="15" t="s">
        <v>67</v>
      </c>
      <c r="J31" s="21">
        <v>46296.0</v>
      </c>
    </row>
    <row r="32" ht="42.0" customHeight="1">
      <c r="A32" s="22" t="s">
        <v>106</v>
      </c>
      <c r="B32" s="23" t="s">
        <v>107</v>
      </c>
      <c r="C32" s="22" t="s">
        <v>64</v>
      </c>
      <c r="D32" s="23" t="s">
        <v>87</v>
      </c>
      <c r="E32" s="24">
        <v>164.92</v>
      </c>
      <c r="F32" s="23" t="str">
        <f t="shared" si="1"/>
        <v>IVA incluido</v>
      </c>
      <c r="G32" s="24">
        <f t="shared" si="2"/>
        <v>136.3</v>
      </c>
      <c r="H32" s="31" t="str">
        <f>HYPERLINK("https://forsailors.es/product-page/funda-cubierta-optimist-con-sable-optiparts-ex1080-maxima-proteccion-2/","Ficha oficial del producto")</f>
        <v>Ficha oficial del producto</v>
      </c>
      <c r="I32" s="23" t="s">
        <v>73</v>
      </c>
      <c r="J32" s="25">
        <v>46296.0</v>
      </c>
    </row>
    <row r="33" ht="42.0" customHeight="1">
      <c r="A33" s="1" t="s">
        <v>108</v>
      </c>
      <c r="B33" s="15" t="s">
        <v>109</v>
      </c>
      <c r="C33" s="1" t="s">
        <v>64</v>
      </c>
      <c r="D33" s="15" t="s">
        <v>87</v>
      </c>
      <c r="E33" s="20">
        <v>99.45</v>
      </c>
      <c r="F33" s="15" t="str">
        <f t="shared" si="1"/>
        <v>IVA incluido</v>
      </c>
      <c r="G33" s="20">
        <f t="shared" si="2"/>
        <v>82.19</v>
      </c>
      <c r="H33" s="30" t="str">
        <f>HYPERLINK("https://forsailors.es/product-page/funda-cubierta-optimist-optiparts-ex1082/","Ficha oficial del producto")</f>
        <v>Ficha oficial del producto</v>
      </c>
      <c r="I33" s="15" t="s">
        <v>67</v>
      </c>
      <c r="J33" s="21">
        <v>46296.0</v>
      </c>
    </row>
    <row r="34" ht="42.0" customHeight="1">
      <c r="A34" s="22" t="s">
        <v>110</v>
      </c>
      <c r="B34" s="23" t="s">
        <v>111</v>
      </c>
      <c r="C34" s="22" t="s">
        <v>64</v>
      </c>
      <c r="D34" s="23" t="s">
        <v>87</v>
      </c>
      <c r="E34" s="24">
        <v>143.95</v>
      </c>
      <c r="F34" s="23" t="str">
        <f t="shared" si="1"/>
        <v>IVA incluido</v>
      </c>
      <c r="G34" s="24">
        <f t="shared" si="2"/>
        <v>118.97</v>
      </c>
      <c r="H34" s="31" t="str">
        <f>HYPERLINK("https://forsailors.es/product-page/funda-cubierta-sd-para-ilca-ex2041-2/","Ficha oficial del producto")</f>
        <v>Ficha oficial del producto</v>
      </c>
      <c r="I34" s="23" t="s">
        <v>82</v>
      </c>
      <c r="J34" s="25">
        <v>46296.0</v>
      </c>
    </row>
    <row r="35" ht="42.0" customHeight="1">
      <c r="A35" s="1" t="s">
        <v>112</v>
      </c>
      <c r="B35" s="15" t="s">
        <v>113</v>
      </c>
      <c r="C35" s="1" t="s">
        <v>64</v>
      </c>
      <c r="D35" s="15" t="s">
        <v>87</v>
      </c>
      <c r="E35" s="20">
        <v>270.0</v>
      </c>
      <c r="F35" s="15" t="str">
        <f t="shared" si="1"/>
        <v>IVA incluido</v>
      </c>
      <c r="G35" s="20">
        <f t="shared" si="2"/>
        <v>223.14</v>
      </c>
      <c r="H35" s="30" t="str">
        <f>HYPERLINK("https://forsailors.es/product-page/funda-de-optimist-acolchada-one-sail/","Ficha oficial del producto")</f>
        <v>Ficha oficial del producto</v>
      </c>
      <c r="I35" s="15" t="s">
        <v>97</v>
      </c>
      <c r="J35" s="21">
        <v>46296.0</v>
      </c>
    </row>
    <row r="36" ht="42.0" customHeight="1">
      <c r="A36" s="22" t="s">
        <v>114</v>
      </c>
      <c r="B36" s="23" t="s">
        <v>115</v>
      </c>
      <c r="C36" s="22" t="s">
        <v>64</v>
      </c>
      <c r="D36" s="23" t="s">
        <v>87</v>
      </c>
      <c r="E36" s="24">
        <v>150.0</v>
      </c>
      <c r="F36" s="23" t="str">
        <f t="shared" si="1"/>
        <v>IVA incluido</v>
      </c>
      <c r="G36" s="24">
        <f t="shared" si="2"/>
        <v>123.97</v>
      </c>
      <c r="H36" s="31" t="str">
        <f>HYPERLINK("https://forsailors.es/product-page/funda-de-optimist-no-acolchada-one-sail/","Ficha oficial del producto")</f>
        <v>Ficha oficial del producto</v>
      </c>
      <c r="I36" s="23" t="s">
        <v>97</v>
      </c>
      <c r="J36" s="25">
        <v>46296.0</v>
      </c>
    </row>
    <row r="37" ht="42.0" customHeight="1">
      <c r="A37" s="1" t="s">
        <v>116</v>
      </c>
      <c r="B37" s="15" t="s">
        <v>117</v>
      </c>
      <c r="C37" s="1" t="s">
        <v>64</v>
      </c>
      <c r="D37" s="15" t="s">
        <v>87</v>
      </c>
      <c r="E37" s="20">
        <v>64.95</v>
      </c>
      <c r="F37" s="15" t="str">
        <f t="shared" si="1"/>
        <v>IVA incluido</v>
      </c>
      <c r="G37" s="20">
        <f t="shared" si="2"/>
        <v>53.68</v>
      </c>
      <c r="H37" s="30" t="str">
        <f>HYPERLINK("https://forsailors.es/product-page/funda-orza-y-timon-optimist-ex1119-windesign/","Ficha oficial del producto")</f>
        <v>Ficha oficial del producto</v>
      </c>
      <c r="I37" s="15" t="s">
        <v>82</v>
      </c>
      <c r="J37" s="21">
        <v>46296.0</v>
      </c>
    </row>
    <row r="38" ht="42.0" customHeight="1">
      <c r="A38" s="22" t="s">
        <v>118</v>
      </c>
      <c r="B38" s="23" t="s">
        <v>119</v>
      </c>
      <c r="C38" s="22" t="s">
        <v>64</v>
      </c>
      <c r="D38" s="23" t="s">
        <v>87</v>
      </c>
      <c r="E38" s="24">
        <v>89.45</v>
      </c>
      <c r="F38" s="23" t="str">
        <f t="shared" si="1"/>
        <v>IVA incluido</v>
      </c>
      <c r="G38" s="24">
        <f t="shared" si="2"/>
        <v>73.93</v>
      </c>
      <c r="H38" s="31" t="str">
        <f>HYPERLINK("https://forsailors.es/product-page/funda-orza-y-timon-para-laser-y-ilca-ex2050-windesign-2/","Ficha oficial del producto")</f>
        <v>Ficha oficial del producto</v>
      </c>
      <c r="I38" s="23" t="s">
        <v>82</v>
      </c>
      <c r="J38" s="25">
        <v>46296.0</v>
      </c>
    </row>
    <row r="39" ht="42.0" customHeight="1">
      <c r="A39" s="1" t="s">
        <v>120</v>
      </c>
      <c r="B39" s="15" t="s">
        <v>121</v>
      </c>
      <c r="C39" s="1" t="s">
        <v>64</v>
      </c>
      <c r="D39" s="15" t="s">
        <v>87</v>
      </c>
      <c r="E39" s="20">
        <v>69.2</v>
      </c>
      <c r="F39" s="15" t="str">
        <f t="shared" si="1"/>
        <v>IVA incluido</v>
      </c>
      <c r="G39" s="20">
        <f t="shared" si="2"/>
        <v>57.19</v>
      </c>
      <c r="H39" s="30" t="str">
        <f>HYPERLINK("https://forsailors.es/product-page/funda-palos-para-laser-y-ilca-ex2038/","Ficha oficial del producto")</f>
        <v>Ficha oficial del producto</v>
      </c>
      <c r="I39" s="15" t="s">
        <v>82</v>
      </c>
      <c r="J39" s="21">
        <v>46296.0</v>
      </c>
    </row>
    <row r="40" ht="42.0" customHeight="1">
      <c r="A40" s="22" t="s">
        <v>122</v>
      </c>
      <c r="B40" s="23" t="s">
        <v>123</v>
      </c>
      <c r="C40" s="22" t="s">
        <v>64</v>
      </c>
      <c r="D40" s="23" t="s">
        <v>87</v>
      </c>
      <c r="E40" s="24">
        <v>25.1</v>
      </c>
      <c r="F40" s="23" t="str">
        <f t="shared" si="1"/>
        <v>IVA incluido</v>
      </c>
      <c r="G40" s="24">
        <f t="shared" si="2"/>
        <v>20.74</v>
      </c>
      <c r="H40" s="31" t="str">
        <f>HYPERLINK("https://forsailors.es/product-page/funda-protectora-azul-marino-para-iris-50-plastimo-38184/","Ficha oficial del producto")</f>
        <v>Ficha oficial del producto</v>
      </c>
      <c r="I40" s="23" t="s">
        <v>67</v>
      </c>
      <c r="J40" s="25">
        <v>46296.0</v>
      </c>
    </row>
    <row r="41" ht="42.0" customHeight="1">
      <c r="A41" s="1" t="s">
        <v>125</v>
      </c>
      <c r="B41" s="15" t="s">
        <v>126</v>
      </c>
      <c r="C41" s="1" t="s">
        <v>64</v>
      </c>
      <c r="D41" s="15" t="s">
        <v>127</v>
      </c>
      <c r="E41" s="20">
        <v>18.48</v>
      </c>
      <c r="F41" s="15" t="str">
        <f t="shared" si="1"/>
        <v>IVA incluido</v>
      </c>
      <c r="G41" s="20">
        <f t="shared" si="2"/>
        <v>15.27</v>
      </c>
      <c r="H41" s="30" t="str">
        <f>HYPERLINK("https://forsailors.es/product-page/achicador-automatico-ilca-auto-bailer-ex2070/","Ficha oficial del producto")</f>
        <v>Ficha oficial del producto</v>
      </c>
      <c r="I41" s="15" t="s">
        <v>82</v>
      </c>
      <c r="J41" s="21">
        <v>46296.0</v>
      </c>
    </row>
    <row r="42" ht="42.0" customHeight="1">
      <c r="A42" s="22" t="s">
        <v>128</v>
      </c>
      <c r="B42" s="23" t="s">
        <v>129</v>
      </c>
      <c r="C42" s="22" t="s">
        <v>64</v>
      </c>
      <c r="D42" s="23" t="s">
        <v>127</v>
      </c>
      <c r="E42" s="24">
        <v>11.49</v>
      </c>
      <c r="F42" s="23" t="str">
        <f t="shared" si="1"/>
        <v>IVA incluido</v>
      </c>
      <c r="G42" s="24">
        <f t="shared" si="2"/>
        <v>9.5</v>
      </c>
      <c r="H42" s="31" t="str">
        <f>HYPERLINK("https://forsailors.es/product-page/aro-de-fogonadura-estandar-optimist-optiparts-ex1208/","Ficha oficial del producto")</f>
        <v>Ficha oficial del producto</v>
      </c>
      <c r="I42" s="23" t="s">
        <v>67</v>
      </c>
      <c r="J42" s="25">
        <v>46296.0</v>
      </c>
    </row>
    <row r="43" ht="42.0" customHeight="1">
      <c r="A43" s="1" t="s">
        <v>130</v>
      </c>
      <c r="B43" s="15" t="s">
        <v>131</v>
      </c>
      <c r="C43" s="1" t="s">
        <v>64</v>
      </c>
      <c r="D43" s="15" t="s">
        <v>127</v>
      </c>
      <c r="E43" s="20">
        <v>10.45</v>
      </c>
      <c r="F43" s="15" t="str">
        <f t="shared" si="1"/>
        <v>IVA incluido</v>
      </c>
      <c r="G43" s="20">
        <f t="shared" si="2"/>
        <v>8.64</v>
      </c>
      <c r="H43" s="30" t="str">
        <f>HYPERLINK("https://forsailors.es/product-page/articulacion-desmontable-con-nervio-releasable-rope-core-joint-for-16mm-ext/","Ficha oficial del producto")</f>
        <v>Ficha oficial del producto</v>
      </c>
      <c r="I43" s="15" t="s">
        <v>82</v>
      </c>
      <c r="J43" s="21">
        <v>46296.0</v>
      </c>
    </row>
    <row r="44" ht="42.0" customHeight="1">
      <c r="A44" s="22" t="s">
        <v>132</v>
      </c>
      <c r="B44" s="23" t="s">
        <v>133</v>
      </c>
      <c r="C44" s="22" t="s">
        <v>64</v>
      </c>
      <c r="D44" s="23" t="s">
        <v>127</v>
      </c>
      <c r="E44" s="24">
        <v>1.17</v>
      </c>
      <c r="F44" s="23" t="str">
        <f t="shared" si="1"/>
        <v>IVA incluido</v>
      </c>
      <c r="G44" s="24">
        <f t="shared" si="2"/>
        <v>0.97</v>
      </c>
      <c r="H44" s="31" t="str">
        <f>HYPERLINK("https://forsailors.es/product-page/cabo-flotante-amarillo-55-mm/","Ficha oficial del producto")</f>
        <v>Ficha oficial del producto</v>
      </c>
      <c r="I44" s="23" t="s">
        <v>67</v>
      </c>
      <c r="J44" s="25">
        <v>46296.0</v>
      </c>
    </row>
    <row r="45" ht="42.0" customHeight="1">
      <c r="A45" s="1" t="s">
        <v>134</v>
      </c>
      <c r="B45" s="15" t="s">
        <v>135</v>
      </c>
      <c r="C45" s="1" t="s">
        <v>64</v>
      </c>
      <c r="D45" s="15" t="s">
        <v>127</v>
      </c>
      <c r="E45" s="20">
        <v>1.17</v>
      </c>
      <c r="F45" s="15" t="str">
        <f t="shared" si="1"/>
        <v>IVA incluido</v>
      </c>
      <c r="G45" s="20">
        <f t="shared" si="2"/>
        <v>0.97</v>
      </c>
      <c r="H45" s="30" t="str">
        <f>HYPERLINK("https://forsailors.es/product-page/cabo-flotante-azul-55-mm/","Ficha oficial del producto")</f>
        <v>Ficha oficial del producto</v>
      </c>
      <c r="I45" s="15" t="s">
        <v>67</v>
      </c>
      <c r="J45" s="21">
        <v>46296.0</v>
      </c>
    </row>
    <row r="46" ht="42.0" customHeight="1">
      <c r="A46" s="22" t="s">
        <v>136</v>
      </c>
      <c r="B46" s="23" t="s">
        <v>137</v>
      </c>
      <c r="C46" s="22" t="s">
        <v>64</v>
      </c>
      <c r="D46" s="23" t="s">
        <v>127</v>
      </c>
      <c r="E46" s="24">
        <v>63.47</v>
      </c>
      <c r="F46" s="23" t="str">
        <f t="shared" si="1"/>
        <v>IVA incluido</v>
      </c>
      <c r="G46" s="24">
        <f t="shared" si="2"/>
        <v>52.45</v>
      </c>
      <c r="H46" s="31" t="str">
        <f>HYPERLINK("https://forsailors.es/product-page/carlinga-regulable-optimist-optiparts-school-ex1202/","Ficha oficial del producto")</f>
        <v>Ficha oficial del producto</v>
      </c>
      <c r="I46" s="23" t="s">
        <v>67</v>
      </c>
      <c r="J46" s="25">
        <v>46296.0</v>
      </c>
    </row>
    <row r="47" ht="42.0" customHeight="1">
      <c r="A47" s="1" t="s">
        <v>138</v>
      </c>
      <c r="B47" s="15" t="s">
        <v>139</v>
      </c>
      <c r="C47" s="1" t="s">
        <v>64</v>
      </c>
      <c r="D47" s="15" t="s">
        <v>127</v>
      </c>
      <c r="E47" s="20">
        <v>35.95</v>
      </c>
      <c r="F47" s="15" t="str">
        <f t="shared" si="1"/>
        <v>IVA incluido</v>
      </c>
      <c r="G47" s="20">
        <f t="shared" si="2"/>
        <v>29.71</v>
      </c>
      <c r="H47" s="30" t="str">
        <f>HYPERLINK("https://forsailors.es/product-page/cinchas-acolchadas-optimist-optiparts-ex1450/","Ficha oficial del producto")</f>
        <v>Ficha oficial del producto</v>
      </c>
      <c r="I47" s="15" t="s">
        <v>82</v>
      </c>
      <c r="J47" s="21">
        <v>46296.0</v>
      </c>
    </row>
    <row r="48" ht="42.0" customHeight="1">
      <c r="A48" s="22" t="s">
        <v>140</v>
      </c>
      <c r="B48" s="23" t="s">
        <v>141</v>
      </c>
      <c r="C48" s="22" t="s">
        <v>64</v>
      </c>
      <c r="D48" s="23" t="s">
        <v>127</v>
      </c>
      <c r="E48" s="24">
        <v>20.89</v>
      </c>
      <c r="F48" s="23" t="str">
        <f t="shared" si="1"/>
        <v>IVA incluido</v>
      </c>
      <c r="G48" s="24">
        <f t="shared" si="2"/>
        <v>17.26</v>
      </c>
      <c r="H48" s="31" t="str">
        <f>HYPERLINK("https://forsailors.es/product-page/cinta-dacron-insignia-blanca-psp-75-mm-x-15-m-psa500511/","Ficha oficial del producto")</f>
        <v>Ficha oficial del producto</v>
      </c>
      <c r="I48" s="23" t="s">
        <v>67</v>
      </c>
      <c r="J48" s="25">
        <v>46296.0</v>
      </c>
    </row>
    <row r="49" ht="42.0" customHeight="1">
      <c r="A49" s="1" t="s">
        <v>142</v>
      </c>
      <c r="B49" s="15" t="s">
        <v>143</v>
      </c>
      <c r="C49" s="1" t="s">
        <v>64</v>
      </c>
      <c r="D49" s="15" t="s">
        <v>127</v>
      </c>
      <c r="E49" s="20">
        <v>11.24</v>
      </c>
      <c r="F49" s="15" t="str">
        <f t="shared" si="1"/>
        <v>IVA incluido</v>
      </c>
      <c r="G49" s="20">
        <f t="shared" si="2"/>
        <v>9.29</v>
      </c>
      <c r="H49" s="30" t="str">
        <f>HYPERLINK("https://forsailors.es/product-page/cinta-de-reparacion-de-spinnaker-amarilla-psp-50-mm-x-45-m-psa500441/","Ficha oficial del producto")</f>
        <v>Ficha oficial del producto</v>
      </c>
      <c r="I49" s="15" t="s">
        <v>67</v>
      </c>
      <c r="J49" s="21">
        <v>46296.0</v>
      </c>
    </row>
    <row r="50" ht="42.0" customHeight="1">
      <c r="A50" s="22" t="s">
        <v>144</v>
      </c>
      <c r="B50" s="23" t="s">
        <v>145</v>
      </c>
      <c r="C50" s="22" t="s">
        <v>64</v>
      </c>
      <c r="D50" s="23" t="s">
        <v>127</v>
      </c>
      <c r="E50" s="24">
        <v>11.24</v>
      </c>
      <c r="F50" s="23" t="str">
        <f t="shared" si="1"/>
        <v>IVA incluido</v>
      </c>
      <c r="G50" s="24">
        <f t="shared" si="2"/>
        <v>9.29</v>
      </c>
      <c r="H50" s="31" t="str">
        <f>HYPERLINK("https://forsailors.es/product-page/cinta-de-reparacion-de-spinnaker-blanca-psp-50-mm-x-45-m-psa500411/","Ficha oficial del producto")</f>
        <v>Ficha oficial del producto</v>
      </c>
      <c r="I50" s="23" t="s">
        <v>67</v>
      </c>
      <c r="J50" s="25">
        <v>46296.0</v>
      </c>
    </row>
    <row r="51" ht="42.0" customHeight="1">
      <c r="A51" s="1" t="s">
        <v>146</v>
      </c>
      <c r="B51" s="15" t="s">
        <v>147</v>
      </c>
      <c r="C51" s="1" t="s">
        <v>64</v>
      </c>
      <c r="D51" s="15" t="s">
        <v>127</v>
      </c>
      <c r="E51" s="20">
        <v>11.24</v>
      </c>
      <c r="F51" s="15" t="str">
        <f t="shared" si="1"/>
        <v>IVA incluido</v>
      </c>
      <c r="G51" s="20">
        <f t="shared" si="2"/>
        <v>9.29</v>
      </c>
      <c r="H51" s="30" t="str">
        <f>HYPERLINK("https://forsailors.es/product-page/cinta-de-reparacion-de-spinnaker-naranja-psp-50-mm-x-45-m-psa500450/","Ficha oficial del producto")</f>
        <v>Ficha oficial del producto</v>
      </c>
      <c r="I51" s="15" t="s">
        <v>67</v>
      </c>
      <c r="J51" s="21">
        <v>46296.0</v>
      </c>
    </row>
    <row r="52" ht="42.0" customHeight="1">
      <c r="A52" s="22" t="s">
        <v>148</v>
      </c>
      <c r="B52" s="23" t="s">
        <v>149</v>
      </c>
      <c r="C52" s="22" t="s">
        <v>64</v>
      </c>
      <c r="D52" s="23" t="s">
        <v>127</v>
      </c>
      <c r="E52" s="24">
        <v>11.24</v>
      </c>
      <c r="F52" s="23" t="str">
        <f t="shared" si="1"/>
        <v>IVA incluido</v>
      </c>
      <c r="G52" s="24">
        <f t="shared" si="2"/>
        <v>9.29</v>
      </c>
      <c r="H52" s="31" t="str">
        <f>HYPERLINK("https://forsailors.es/product-page/cinta-de-reparacion-de-spinnaker-negra-psp-50-mm-x-45-m-psa500490/","Ficha oficial del producto")</f>
        <v>Ficha oficial del producto</v>
      </c>
      <c r="I52" s="23" t="s">
        <v>67</v>
      </c>
      <c r="J52" s="25">
        <v>46296.0</v>
      </c>
    </row>
    <row r="53" ht="42.0" customHeight="1">
      <c r="A53" s="1" t="s">
        <v>150</v>
      </c>
      <c r="B53" s="15" t="s">
        <v>151</v>
      </c>
      <c r="C53" s="1" t="s">
        <v>64</v>
      </c>
      <c r="D53" s="15" t="s">
        <v>127</v>
      </c>
      <c r="E53" s="20">
        <v>11.24</v>
      </c>
      <c r="F53" s="15" t="str">
        <f t="shared" si="1"/>
        <v>IVA incluido</v>
      </c>
      <c r="G53" s="20">
        <f t="shared" si="2"/>
        <v>9.29</v>
      </c>
      <c r="H53" s="30" t="str">
        <f>HYPERLINK("https://forsailors.es/product-page/cinta-de-reparacion-de-spinnaker-roja-psp-50-mm-x-45-m-psa500460/","Ficha oficial del producto")</f>
        <v>Ficha oficial del producto</v>
      </c>
      <c r="I53" s="15" t="s">
        <v>67</v>
      </c>
      <c r="J53" s="21">
        <v>46296.0</v>
      </c>
    </row>
    <row r="54" ht="42.0" customHeight="1">
      <c r="A54" s="22" t="s">
        <v>152</v>
      </c>
      <c r="B54" s="23" t="s">
        <v>153</v>
      </c>
      <c r="C54" s="22" t="s">
        <v>64</v>
      </c>
      <c r="D54" s="23" t="s">
        <v>127</v>
      </c>
      <c r="E54" s="24">
        <v>11.24</v>
      </c>
      <c r="F54" s="23" t="str">
        <f t="shared" si="1"/>
        <v>IVA incluido</v>
      </c>
      <c r="G54" s="24">
        <f t="shared" si="2"/>
        <v>9.29</v>
      </c>
      <c r="H54" s="31" t="str">
        <f>HYPERLINK("https://forsailors.es/product-page/cinta-de-reparacion-de-spinnaker-rosa-psp-50-mm-x-45-m-psa500429/","Ficha oficial del producto")</f>
        <v>Ficha oficial del producto</v>
      </c>
      <c r="I54" s="23" t="s">
        <v>67</v>
      </c>
      <c r="J54" s="25">
        <v>46296.0</v>
      </c>
    </row>
    <row r="55" ht="42.0" customHeight="1">
      <c r="A55" s="1" t="s">
        <v>154</v>
      </c>
      <c r="B55" s="15" t="s">
        <v>155</v>
      </c>
      <c r="C55" s="1" t="s">
        <v>64</v>
      </c>
      <c r="D55" s="15" t="s">
        <v>127</v>
      </c>
      <c r="E55" s="20">
        <v>11.24</v>
      </c>
      <c r="F55" s="15" t="str">
        <f t="shared" si="1"/>
        <v>IVA incluido</v>
      </c>
      <c r="G55" s="20">
        <f t="shared" si="2"/>
        <v>9.29</v>
      </c>
      <c r="H55" s="30" t="str">
        <f>HYPERLINK("https://forsailors.es/product-page/cinta-de-reparacion-de-spinnaker-verde-psp-50-mm-x-45-m-psa500430/","Ficha oficial del producto")</f>
        <v>Ficha oficial del producto</v>
      </c>
      <c r="I55" s="15" t="s">
        <v>67</v>
      </c>
      <c r="J55" s="21">
        <v>46296.0</v>
      </c>
    </row>
    <row r="56" ht="42.0" customHeight="1">
      <c r="A56" s="22" t="s">
        <v>156</v>
      </c>
      <c r="B56" s="23" t="s">
        <v>157</v>
      </c>
      <c r="C56" s="22" t="s">
        <v>64</v>
      </c>
      <c r="D56" s="23" t="s">
        <v>127</v>
      </c>
      <c r="E56" s="24">
        <v>12.03</v>
      </c>
      <c r="F56" s="23" t="str">
        <f t="shared" si="1"/>
        <v>IVA incluido</v>
      </c>
      <c r="G56" s="24">
        <f t="shared" si="2"/>
        <v>9.94</v>
      </c>
      <c r="H56" s="31" t="str">
        <f>HYPERLINK("https://forsailors.es/product-page/cinta-de-reparacion-de-velas-psp-heavy-duty-blanca-50-mm-x-2-m-psd500211/","Ficha oficial del producto")</f>
        <v>Ficha oficial del producto</v>
      </c>
      <c r="I56" s="23" t="s">
        <v>67</v>
      </c>
      <c r="J56" s="25">
        <v>46296.0</v>
      </c>
    </row>
    <row r="57" ht="42.0" customHeight="1">
      <c r="A57" s="1" t="s">
        <v>158</v>
      </c>
      <c r="B57" s="15" t="s">
        <v>159</v>
      </c>
      <c r="C57" s="1" t="s">
        <v>64</v>
      </c>
      <c r="D57" s="15" t="s">
        <v>127</v>
      </c>
      <c r="E57" s="20">
        <v>16.69</v>
      </c>
      <c r="F57" s="15" t="str">
        <f t="shared" si="1"/>
        <v>IVA incluido</v>
      </c>
      <c r="G57" s="20">
        <f t="shared" si="2"/>
        <v>13.79</v>
      </c>
      <c r="H57" s="30" t="str">
        <f>HYPERLINK("https://forsailors.es/product-page/cinta-mylar-transparente-psp-150-mm-x-3-m-psg150310/","Ficha oficial del producto")</f>
        <v>Ficha oficial del producto</v>
      </c>
      <c r="I57" s="15" t="s">
        <v>67</v>
      </c>
      <c r="J57" s="21">
        <v>46296.0</v>
      </c>
    </row>
    <row r="58" ht="42.0" customHeight="1">
      <c r="A58" s="22" t="s">
        <v>160</v>
      </c>
      <c r="B58" s="23" t="s">
        <v>161</v>
      </c>
      <c r="C58" s="22" t="s">
        <v>64</v>
      </c>
      <c r="D58" s="23" t="s">
        <v>127</v>
      </c>
      <c r="E58" s="24">
        <v>6.7</v>
      </c>
      <c r="F58" s="23" t="str">
        <f t="shared" si="1"/>
        <v>IVA incluido</v>
      </c>
      <c r="G58" s="24">
        <f t="shared" si="2"/>
        <v>5.54</v>
      </c>
      <c r="H58" s="31" t="str">
        <f>HYPERLINK("https://forsailors.es/product-page/cinta-mylar-transparente-psp-50-mm-x-3-m-psg050310/","Ficha oficial del producto")</f>
        <v>Ficha oficial del producto</v>
      </c>
      <c r="I58" s="23" t="s">
        <v>67</v>
      </c>
      <c r="J58" s="25">
        <v>46296.0</v>
      </c>
    </row>
    <row r="59" ht="42.0" customHeight="1">
      <c r="A59" s="1" t="s">
        <v>162</v>
      </c>
      <c r="B59" s="15" t="s">
        <v>163</v>
      </c>
      <c r="C59" s="1" t="s">
        <v>64</v>
      </c>
      <c r="D59" s="15" t="s">
        <v>127</v>
      </c>
      <c r="E59" s="20">
        <v>74.01</v>
      </c>
      <c r="F59" s="15" t="str">
        <f t="shared" si="1"/>
        <v>IVA incluido</v>
      </c>
      <c r="G59" s="20">
        <f t="shared" si="2"/>
        <v>61.17</v>
      </c>
      <c r="H59" s="30" t="str">
        <f>HYPERLINK("https://forsailors.es/product-page/compas-iris-50-amarillo/","Ficha oficial del producto")</f>
        <v>Ficha oficial del producto</v>
      </c>
      <c r="I59" s="15" t="s">
        <v>67</v>
      </c>
      <c r="J59" s="21">
        <v>46296.0</v>
      </c>
    </row>
    <row r="60" ht="42.0" customHeight="1">
      <c r="A60" s="22" t="s">
        <v>164</v>
      </c>
      <c r="B60" s="23" t="s">
        <v>165</v>
      </c>
      <c r="C60" s="22" t="s">
        <v>64</v>
      </c>
      <c r="D60" s="23" t="s">
        <v>127</v>
      </c>
      <c r="E60" s="24">
        <v>74.01</v>
      </c>
      <c r="F60" s="23" t="str">
        <f t="shared" si="1"/>
        <v>IVA incluido</v>
      </c>
      <c r="G60" s="24">
        <f t="shared" si="2"/>
        <v>61.17</v>
      </c>
      <c r="H60" s="31" t="str">
        <f>HYPERLINK("https://forsailors.es/product-page/compas-iris-50-arena-plastimo-63603/","Ficha oficial del producto")</f>
        <v>Ficha oficial del producto</v>
      </c>
      <c r="I60" s="23" t="s">
        <v>67</v>
      </c>
      <c r="J60" s="25">
        <v>46296.0</v>
      </c>
    </row>
    <row r="61" ht="42.0" customHeight="1">
      <c r="A61" s="1" t="s">
        <v>166</v>
      </c>
      <c r="B61" s="15" t="s">
        <v>167</v>
      </c>
      <c r="C61" s="1" t="s">
        <v>64</v>
      </c>
      <c r="D61" s="15" t="s">
        <v>127</v>
      </c>
      <c r="E61" s="20">
        <v>74.01</v>
      </c>
      <c r="F61" s="15" t="str">
        <f t="shared" si="1"/>
        <v>IVA incluido</v>
      </c>
      <c r="G61" s="20">
        <f t="shared" si="2"/>
        <v>61.17</v>
      </c>
      <c r="H61" s="30" t="str">
        <f>HYPERLINK("https://forsailors.es/product-page/compas-iris-50-azul/","Ficha oficial del producto")</f>
        <v>Ficha oficial del producto</v>
      </c>
      <c r="I61" s="15" t="s">
        <v>67</v>
      </c>
      <c r="J61" s="21">
        <v>46296.0</v>
      </c>
    </row>
    <row r="62" ht="42.0" customHeight="1">
      <c r="A62" s="22" t="s">
        <v>168</v>
      </c>
      <c r="B62" s="23" t="s">
        <v>169</v>
      </c>
      <c r="C62" s="22" t="s">
        <v>64</v>
      </c>
      <c r="D62" s="23" t="s">
        <v>127</v>
      </c>
      <c r="E62" s="24">
        <v>74.01</v>
      </c>
      <c r="F62" s="23" t="str">
        <f t="shared" si="1"/>
        <v>IVA incluido</v>
      </c>
      <c r="G62" s="24">
        <f t="shared" si="2"/>
        <v>61.17</v>
      </c>
      <c r="H62" s="31" t="str">
        <f>HYPERLINK("https://forsailors.es/product-page/compas-iris-50-caqui/","Ficha oficial del producto")</f>
        <v>Ficha oficial del producto</v>
      </c>
      <c r="I62" s="23" t="s">
        <v>67</v>
      </c>
      <c r="J62" s="25">
        <v>46296.0</v>
      </c>
    </row>
    <row r="63" ht="42.0" customHeight="1">
      <c r="A63" s="1" t="s">
        <v>170</v>
      </c>
      <c r="B63" s="15" t="s">
        <v>171</v>
      </c>
      <c r="C63" s="1" t="s">
        <v>64</v>
      </c>
      <c r="D63" s="15" t="s">
        <v>127</v>
      </c>
      <c r="E63" s="20">
        <v>74.01</v>
      </c>
      <c r="F63" s="15" t="str">
        <f t="shared" si="1"/>
        <v>IVA incluido</v>
      </c>
      <c r="G63" s="20">
        <f t="shared" si="2"/>
        <v>61.17</v>
      </c>
      <c r="H63" s="30" t="str">
        <f>HYPERLINK("https://forsailors.es/product-page/compas-iris-50-naranja-plastimo-63599/","Ficha oficial del producto")</f>
        <v>Ficha oficial del producto</v>
      </c>
      <c r="I63" s="15" t="s">
        <v>67</v>
      </c>
      <c r="J63" s="21">
        <v>46296.0</v>
      </c>
    </row>
    <row r="64" ht="42.0" customHeight="1">
      <c r="A64" s="22" t="s">
        <v>172</v>
      </c>
      <c r="B64" s="23" t="s">
        <v>173</v>
      </c>
      <c r="C64" s="22" t="s">
        <v>64</v>
      </c>
      <c r="D64" s="23" t="s">
        <v>127</v>
      </c>
      <c r="E64" s="24">
        <v>74.01</v>
      </c>
      <c r="F64" s="23" t="str">
        <f t="shared" si="1"/>
        <v>IVA incluido</v>
      </c>
      <c r="G64" s="24">
        <f t="shared" si="2"/>
        <v>61.17</v>
      </c>
      <c r="H64" s="31" t="str">
        <f>HYPERLINK("https://forsailors.es/product-page/compas-iris-50-rosa-plastimo-63601/","Ficha oficial del producto")</f>
        <v>Ficha oficial del producto</v>
      </c>
      <c r="I64" s="23" t="s">
        <v>67</v>
      </c>
      <c r="J64" s="25">
        <v>46296.0</v>
      </c>
    </row>
    <row r="65" ht="42.0" customHeight="1">
      <c r="A65" s="1" t="s">
        <v>174</v>
      </c>
      <c r="B65" s="15" t="s">
        <v>175</v>
      </c>
      <c r="C65" s="1" t="s">
        <v>64</v>
      </c>
      <c r="D65" s="15" t="s">
        <v>127</v>
      </c>
      <c r="E65" s="20">
        <v>6.45</v>
      </c>
      <c r="F65" s="15" t="str">
        <f t="shared" si="1"/>
        <v>IVA incluido</v>
      </c>
      <c r="G65" s="20">
        <f t="shared" si="2"/>
        <v>5.33</v>
      </c>
      <c r="H65" s="30" t="str">
        <f>HYPERLINK("https://forsailors.es/product-page/cuello-del-aro-fogonadura-optimist-gris-optiparts-ex1211/","Ficha oficial del producto")</f>
        <v>Ficha oficial del producto</v>
      </c>
      <c r="I65" s="15" t="s">
        <v>73</v>
      </c>
      <c r="J65" s="21">
        <v>46296.0</v>
      </c>
    </row>
    <row r="66" ht="42.0" customHeight="1">
      <c r="A66" s="22" t="s">
        <v>176</v>
      </c>
      <c r="B66" s="23" t="s">
        <v>177</v>
      </c>
      <c r="C66" s="22" t="s">
        <v>64</v>
      </c>
      <c r="D66" s="23" t="s">
        <v>127</v>
      </c>
      <c r="E66" s="24">
        <v>75.21</v>
      </c>
      <c r="F66" s="23" t="str">
        <f t="shared" si="1"/>
        <v>IVA incluido</v>
      </c>
      <c r="G66" s="24">
        <f t="shared" si="2"/>
        <v>62.16</v>
      </c>
      <c r="H66" s="31" t="str">
        <f>HYPERLINK("https://forsailors.es/product-page/escota-optimist-doble-seccion-pro-technoradyneema-optiparts-ex1379p/","Ficha oficial del producto")</f>
        <v>Ficha oficial del producto</v>
      </c>
      <c r="I66" s="23" t="s">
        <v>82</v>
      </c>
      <c r="J66" s="25">
        <v>46296.0</v>
      </c>
    </row>
    <row r="67" ht="42.0" customHeight="1">
      <c r="A67" s="1" t="s">
        <v>178</v>
      </c>
      <c r="B67" s="15" t="s">
        <v>179</v>
      </c>
      <c r="C67" s="1" t="s">
        <v>64</v>
      </c>
      <c r="D67" s="15" t="s">
        <v>127</v>
      </c>
      <c r="E67" s="20">
        <v>1.45</v>
      </c>
      <c r="F67" s="15" t="str">
        <f t="shared" si="1"/>
        <v>IVA incluido</v>
      </c>
      <c r="G67" s="20">
        <f t="shared" si="2"/>
        <v>1.2</v>
      </c>
      <c r="H67" s="30" t="str">
        <f>HYPERLINK("https://forsailors.es/product-page/mosqueton-plastico-ex1443/","Ficha oficial del producto")</f>
        <v>Ficha oficial del producto</v>
      </c>
      <c r="I67" s="15" t="s">
        <v>82</v>
      </c>
      <c r="J67" s="21">
        <v>46296.0</v>
      </c>
    </row>
    <row r="68" ht="60.0" customHeight="1">
      <c r="A68" s="22" t="s">
        <v>180</v>
      </c>
      <c r="B68" s="23" t="s">
        <v>181</v>
      </c>
      <c r="C68" s="22" t="s">
        <v>64</v>
      </c>
      <c r="D68" s="23" t="s">
        <v>127</v>
      </c>
      <c r="E68" s="24">
        <v>12.99</v>
      </c>
      <c r="F68" s="23" t="str">
        <f t="shared" si="1"/>
        <v>IVA incluido</v>
      </c>
      <c r="G68" s="24">
        <f t="shared" si="2"/>
        <v>10.74</v>
      </c>
      <c r="H68" s="31" t="str">
        <f>HYPERLINK("https://forsailors.es/product-page/juego-herrajes-timon-optimist-ex1160/?attribute_tamano=CORTO","Ficha oficial del producto")</f>
        <v>Ficha oficial del producto</v>
      </c>
      <c r="I68" s="23" t="s">
        <v>200</v>
      </c>
      <c r="J68" s="25">
        <v>46296.0</v>
      </c>
    </row>
    <row r="69" ht="60.0" customHeight="1">
      <c r="A69" s="1" t="s">
        <v>182</v>
      </c>
      <c r="B69" s="15" t="s">
        <v>183</v>
      </c>
      <c r="C69" s="1" t="s">
        <v>64</v>
      </c>
      <c r="D69" s="15" t="s">
        <v>127</v>
      </c>
      <c r="E69" s="20">
        <v>25.95</v>
      </c>
      <c r="F69" s="15" t="str">
        <f t="shared" si="1"/>
        <v>IVA incluido</v>
      </c>
      <c r="G69" s="20">
        <f t="shared" si="2"/>
        <v>21.45</v>
      </c>
      <c r="H69" s="30" t="str">
        <f>HYPERLINK("https://forsailors.es/product-page/juego-herrajes-timon-optimist-ex1160/?attribute_tamano=JUEGO+COMPLETO","Ficha oficial del producto")</f>
        <v>Ficha oficial del producto</v>
      </c>
      <c r="I69" s="15" t="s">
        <v>200</v>
      </c>
      <c r="J69" s="21">
        <v>46296.0</v>
      </c>
    </row>
    <row r="70" ht="60.0" customHeight="1">
      <c r="A70" s="22" t="s">
        <v>184</v>
      </c>
      <c r="B70" s="23" t="s">
        <v>185</v>
      </c>
      <c r="C70" s="22" t="s">
        <v>64</v>
      </c>
      <c r="D70" s="23" t="s">
        <v>127</v>
      </c>
      <c r="E70" s="24">
        <v>13.99</v>
      </c>
      <c r="F70" s="23" t="str">
        <f t="shared" si="1"/>
        <v>IVA incluido</v>
      </c>
      <c r="G70" s="24">
        <f t="shared" si="2"/>
        <v>11.56</v>
      </c>
      <c r="H70" s="31" t="str">
        <f>HYPERLINK("https://forsailors.es/product-page/juego-herrajes-timon-optimist-ex1160/?attribute_tamano=LARGO","Ficha oficial del producto")</f>
        <v>Ficha oficial del producto</v>
      </c>
      <c r="I70" s="23" t="s">
        <v>200</v>
      </c>
      <c r="J70" s="25">
        <v>46296.0</v>
      </c>
    </row>
    <row r="71" ht="42.0" customHeight="1">
      <c r="A71" s="1" t="s">
        <v>186</v>
      </c>
      <c r="B71" s="15" t="s">
        <v>187</v>
      </c>
      <c r="C71" s="1" t="s">
        <v>64</v>
      </c>
      <c r="D71" s="15" t="s">
        <v>127</v>
      </c>
      <c r="E71" s="20">
        <v>99.5</v>
      </c>
      <c r="F71" s="15" t="str">
        <f t="shared" si="1"/>
        <v>IVA incluido</v>
      </c>
      <c r="G71" s="20">
        <f t="shared" si="2"/>
        <v>82.23</v>
      </c>
      <c r="H71" s="30" t="str">
        <f>HYPERLINK("https://forsailors.es/product-page/kit-de-proteccion-optimist-optiparts-ex1118/","Ficha oficial del producto")</f>
        <v>Ficha oficial del producto</v>
      </c>
      <c r="I71" s="15" t="s">
        <v>67</v>
      </c>
      <c r="J71" s="21">
        <v>46296.0</v>
      </c>
    </row>
    <row r="72" ht="42.0" customHeight="1">
      <c r="A72" s="22" t="s">
        <v>188</v>
      </c>
      <c r="B72" s="23" t="s">
        <v>189</v>
      </c>
      <c r="C72" s="22" t="s">
        <v>64</v>
      </c>
      <c r="D72" s="23" t="s">
        <v>127</v>
      </c>
      <c r="E72" s="24">
        <v>35.48</v>
      </c>
      <c r="F72" s="23" t="str">
        <f t="shared" si="1"/>
        <v>IVA incluido</v>
      </c>
      <c r="G72" s="24">
        <f t="shared" si="2"/>
        <v>29.32</v>
      </c>
      <c r="H72" s="31" t="str">
        <f>HYPERLINK("https://forsailors.es/product-page/kit-de-proteccion-para-cajera-de-orza-optimist-ex1117/","Ficha oficial del producto")</f>
        <v>Ficha oficial del producto</v>
      </c>
      <c r="I72" s="23" t="s">
        <v>67</v>
      </c>
      <c r="J72" s="25">
        <v>46296.0</v>
      </c>
    </row>
    <row r="73" ht="42.0" customHeight="1">
      <c r="A73" s="1" t="s">
        <v>190</v>
      </c>
      <c r="B73" s="15" t="s">
        <v>191</v>
      </c>
      <c r="C73" s="1" t="s">
        <v>64</v>
      </c>
      <c r="D73" s="15" t="s">
        <v>127</v>
      </c>
      <c r="E73" s="20">
        <v>99.9</v>
      </c>
      <c r="F73" s="15" t="str">
        <f t="shared" si="1"/>
        <v>IVA incluido</v>
      </c>
      <c r="G73" s="20">
        <f t="shared" si="2"/>
        <v>82.56</v>
      </c>
      <c r="H73" s="30" t="str">
        <f>HYPERLINK("https://forsailors.es/product-page/polea-giratoria-harken-carbo-ratchet-57mm/?attribute_color=negro","Ficha oficial del producto")</f>
        <v>Ficha oficial del producto</v>
      </c>
      <c r="I73" s="15" t="s">
        <v>82</v>
      </c>
      <c r="J73" s="21">
        <v>46296.0</v>
      </c>
    </row>
    <row r="74" ht="42.0" customHeight="1">
      <c r="A74" s="22" t="s">
        <v>192</v>
      </c>
      <c r="B74" s="23" t="s">
        <v>193</v>
      </c>
      <c r="C74" s="22" t="s">
        <v>64</v>
      </c>
      <c r="D74" s="23" t="s">
        <v>127</v>
      </c>
      <c r="E74" s="24">
        <v>99.9</v>
      </c>
      <c r="F74" s="23" t="str">
        <f t="shared" si="1"/>
        <v>IVA incluido</v>
      </c>
      <c r="G74" s="24">
        <f t="shared" si="2"/>
        <v>82.56</v>
      </c>
      <c r="H74" s="31" t="str">
        <f>HYPERLINK("https://forsailors.es/product-page/polea-giratoria-harken-carbo-ratchet-57mm/?attribute_color=rojo","Ficha oficial del producto")</f>
        <v>Ficha oficial del producto</v>
      </c>
      <c r="I74" s="23" t="s">
        <v>97</v>
      </c>
      <c r="J74" s="25">
        <v>46296.0</v>
      </c>
    </row>
    <row r="75" ht="42.0" customHeight="1">
      <c r="A75" s="1" t="s">
        <v>194</v>
      </c>
      <c r="B75" s="15" t="s">
        <v>195</v>
      </c>
      <c r="C75" s="1" t="s">
        <v>64</v>
      </c>
      <c r="D75" s="15" t="s">
        <v>127</v>
      </c>
      <c r="E75" s="20">
        <v>110.0</v>
      </c>
      <c r="F75" s="15" t="str">
        <f t="shared" si="1"/>
        <v>IVA incluido</v>
      </c>
      <c r="G75" s="20">
        <f t="shared" si="2"/>
        <v>90.91</v>
      </c>
      <c r="H75" s="30" t="str">
        <f>HYPERLINK("https://forsailors.es/product-page/polea-harken-carbo-de-trinquete-57-mm/","Ficha oficial del producto")</f>
        <v>Ficha oficial del producto</v>
      </c>
      <c r="I75" s="15" t="s">
        <v>67</v>
      </c>
      <c r="J75" s="21">
        <v>46296.0</v>
      </c>
    </row>
    <row r="76" ht="42.0" customHeight="1">
      <c r="A76" s="22" t="s">
        <v>196</v>
      </c>
      <c r="B76" s="23" t="s">
        <v>197</v>
      </c>
      <c r="C76" s="22" t="s">
        <v>64</v>
      </c>
      <c r="D76" s="23" t="s">
        <v>127</v>
      </c>
      <c r="E76" s="24">
        <v>56.78</v>
      </c>
      <c r="F76" s="23" t="str">
        <f t="shared" si="1"/>
        <v>IVA incluido</v>
      </c>
      <c r="G76" s="24">
        <f t="shared" si="2"/>
        <v>46.93</v>
      </c>
      <c r="H76" s="31" t="str">
        <f>HYPERLINK("https://forsailors.es/product-page/polea-winch-57-mm-para-optimist-y-laserilca-ex1299-ex/","Ficha oficial del producto")</f>
        <v>Ficha oficial del producto</v>
      </c>
      <c r="I76" s="23" t="s">
        <v>97</v>
      </c>
      <c r="J76" s="25">
        <v>46296.0</v>
      </c>
    </row>
    <row r="77" ht="42.0" customHeight="1">
      <c r="A77" s="1" t="s">
        <v>198</v>
      </c>
      <c r="B77" s="15" t="s">
        <v>199</v>
      </c>
      <c r="C77" s="1" t="s">
        <v>64</v>
      </c>
      <c r="D77" s="15" t="s">
        <v>127</v>
      </c>
      <c r="E77" s="20">
        <v>35.48</v>
      </c>
      <c r="F77" s="15" t="str">
        <f t="shared" si="1"/>
        <v>IVA incluido</v>
      </c>
      <c r="G77" s="20">
        <f t="shared" si="2"/>
        <v>29.32</v>
      </c>
      <c r="H77" s="30" t="str">
        <f>HYPERLINK("https://forsailors.es/product-page/proteccion-de-proa/","Ficha oficial del producto")</f>
        <v>Ficha oficial del producto</v>
      </c>
      <c r="I77" s="15" t="s">
        <v>67</v>
      </c>
      <c r="J77" s="21">
        <v>46296.0</v>
      </c>
    </row>
    <row r="78" ht="42.0" customHeight="1">
      <c r="A78" s="22" t="s">
        <v>201</v>
      </c>
      <c r="B78" s="23" t="s">
        <v>202</v>
      </c>
      <c r="C78" s="22" t="s">
        <v>64</v>
      </c>
      <c r="D78" s="23" t="s">
        <v>127</v>
      </c>
      <c r="E78" s="24">
        <v>16.46</v>
      </c>
      <c r="F78" s="23" t="str">
        <f t="shared" si="1"/>
        <v>IVA incluido</v>
      </c>
      <c r="G78" s="24">
        <f t="shared" si="2"/>
        <v>13.6</v>
      </c>
      <c r="H78" s="31" t="str">
        <f>HYPERLINK("https://forsailors.es/product-page/protectores-de-esquinas/","Ficha oficial del producto")</f>
        <v>Ficha oficial del producto</v>
      </c>
      <c r="I78" s="23" t="s">
        <v>67</v>
      </c>
      <c r="J78" s="25">
        <v>46296.0</v>
      </c>
    </row>
    <row r="79" ht="42.0" customHeight="1">
      <c r="A79" s="1" t="s">
        <v>203</v>
      </c>
      <c r="B79" s="15" t="s">
        <v>204</v>
      </c>
      <c r="C79" s="1" t="s">
        <v>64</v>
      </c>
      <c r="D79" s="15" t="s">
        <v>127</v>
      </c>
      <c r="E79" s="20">
        <v>32.95</v>
      </c>
      <c r="F79" s="15" t="str">
        <f t="shared" si="1"/>
        <v>IVA incluido</v>
      </c>
      <c r="G79" s="20">
        <f t="shared" si="2"/>
        <v>27.23</v>
      </c>
      <c r="H79" s="30" t="str">
        <f>HYPERLINK("https://forsailors.es/product-page/seguro-de-palo-optimist-ex1203/","Ficha oficial del producto")</f>
        <v>Ficha oficial del producto</v>
      </c>
      <c r="I79" s="15" t="s">
        <v>82</v>
      </c>
      <c r="J79" s="21">
        <v>46296.0</v>
      </c>
    </row>
    <row r="80" ht="42.0" customHeight="1">
      <c r="A80" s="22" t="s">
        <v>205</v>
      </c>
      <c r="B80" s="23" t="s">
        <v>206</v>
      </c>
      <c r="C80" s="22" t="s">
        <v>64</v>
      </c>
      <c r="D80" s="23" t="s">
        <v>127</v>
      </c>
      <c r="E80" s="24">
        <v>7.45</v>
      </c>
      <c r="F80" s="23" t="str">
        <f t="shared" si="1"/>
        <v>IVA incluido</v>
      </c>
      <c r="G80" s="24">
        <f t="shared" si="2"/>
        <v>6.16</v>
      </c>
      <c r="H80" s="31" t="str">
        <f>HYPERLINK("https://forsailors.es/product-page/seguro-de-timon-optimist-ex1180/","Ficha oficial del producto")</f>
        <v>Ficha oficial del producto</v>
      </c>
      <c r="I80" s="23" t="s">
        <v>82</v>
      </c>
      <c r="J80" s="25">
        <v>46296.0</v>
      </c>
    </row>
    <row r="81" ht="42.0" customHeight="1">
      <c r="A81" s="1" t="s">
        <v>207</v>
      </c>
      <c r="B81" s="15" t="s">
        <v>208</v>
      </c>
      <c r="C81" s="1" t="s">
        <v>64</v>
      </c>
      <c r="D81" s="15" t="s">
        <v>127</v>
      </c>
      <c r="E81" s="20">
        <v>13.75</v>
      </c>
      <c r="F81" s="15" t="str">
        <f t="shared" si="1"/>
        <v>IVA incluido</v>
      </c>
      <c r="G81" s="20">
        <f t="shared" si="2"/>
        <v>11.36</v>
      </c>
      <c r="H81" s="30" t="str">
        <f>HYPERLINK("https://forsailors.es/product-page/soporte-de-pvc-para-iris-50-plastimo-17244/","Ficha oficial del producto")</f>
        <v>Ficha oficial del producto</v>
      </c>
      <c r="I81" s="15" t="s">
        <v>67</v>
      </c>
      <c r="J81" s="21">
        <v>46296.0</v>
      </c>
    </row>
    <row r="82" ht="42.0" customHeight="1">
      <c r="A82" s="22" t="s">
        <v>209</v>
      </c>
      <c r="B82" s="23" t="s">
        <v>210</v>
      </c>
      <c r="C82" s="22" t="s">
        <v>64</v>
      </c>
      <c r="D82" s="23" t="s">
        <v>127</v>
      </c>
      <c r="E82" s="24">
        <v>2.2</v>
      </c>
      <c r="F82" s="23" t="str">
        <f t="shared" si="1"/>
        <v>IVA incluido</v>
      </c>
      <c r="G82" s="24">
        <f t="shared" si="2"/>
        <v>1.82</v>
      </c>
      <c r="H82" s="31" t="str">
        <f>HYPERLINK("https://forsailors.es/product-page/tapon-achicador-para-laser-y-ilca-ex2076-optiparts/","Ficha oficial del producto")</f>
        <v>Ficha oficial del producto</v>
      </c>
      <c r="I82" s="23" t="s">
        <v>82</v>
      </c>
      <c r="J82" s="25">
        <v>46296.0</v>
      </c>
    </row>
    <row r="83" ht="42.0" customHeight="1">
      <c r="A83" s="1" t="s">
        <v>211</v>
      </c>
      <c r="B83" s="15" t="s">
        <v>212</v>
      </c>
      <c r="C83" s="1" t="s">
        <v>64</v>
      </c>
      <c r="D83" s="15" t="s">
        <v>127</v>
      </c>
      <c r="E83" s="20">
        <v>2.45</v>
      </c>
      <c r="F83" s="15" t="str">
        <f t="shared" si="1"/>
        <v>IVA incluido</v>
      </c>
      <c r="G83" s="20">
        <f t="shared" si="2"/>
        <v>2.02</v>
      </c>
      <c r="H83" s="30" t="str">
        <f>HYPERLINK("https://forsailors.es/product-page/tope-goma-protector-ex1116/","Ficha oficial del producto")</f>
        <v>Ficha oficial del producto</v>
      </c>
      <c r="I83" s="15" t="s">
        <v>82</v>
      </c>
      <c r="J83" s="21">
        <v>46296.0</v>
      </c>
    </row>
    <row r="84" ht="42.0" customHeight="1">
      <c r="A84" s="22" t="s">
        <v>213</v>
      </c>
      <c r="B84" s="23" t="s">
        <v>214</v>
      </c>
      <c r="C84" s="22" t="s">
        <v>64</v>
      </c>
      <c r="D84" s="23" t="s">
        <v>127</v>
      </c>
      <c r="E84" s="24">
        <v>17.94</v>
      </c>
      <c r="F84" s="23" t="str">
        <f t="shared" si="1"/>
        <v>IVA incluido</v>
      </c>
      <c r="G84" s="24">
        <f t="shared" si="2"/>
        <v>14.83</v>
      </c>
      <c r="H84" s="31" t="str">
        <f>HYPERLINK("https://forsailors.es/product-page/tope-de-goma-protector-de-orza-optimist-pro-ex1067/","Ficha oficial del producto")</f>
        <v>Ficha oficial del producto</v>
      </c>
      <c r="I84" s="23" t="s">
        <v>97</v>
      </c>
      <c r="J84" s="25">
        <v>46296.0</v>
      </c>
    </row>
    <row r="85" ht="42.0" customHeight="1">
      <c r="A85" s="1" t="s">
        <v>215</v>
      </c>
      <c r="B85" s="15" t="s">
        <v>216</v>
      </c>
      <c r="C85" s="1" t="s">
        <v>64</v>
      </c>
      <c r="D85" s="15" t="s">
        <v>127</v>
      </c>
      <c r="E85" s="20">
        <v>15.74</v>
      </c>
      <c r="F85" s="15" t="str">
        <f t="shared" si="1"/>
        <v>IVA incluido</v>
      </c>
      <c r="G85" s="20">
        <f t="shared" si="2"/>
        <v>13.01</v>
      </c>
      <c r="H85" s="30" t="str">
        <f>HYPERLINK("https://forsailors.es/product-page/vectran-12-mm-en-minibobina-de-15-m/","Ficha oficial del producto")</f>
        <v>Ficha oficial del producto</v>
      </c>
      <c r="I85" s="15" t="s">
        <v>67</v>
      </c>
      <c r="J85" s="21">
        <v>46296.0</v>
      </c>
    </row>
    <row r="86" ht="42.0" customHeight="1">
      <c r="A86" s="22" t="s">
        <v>217</v>
      </c>
      <c r="B86" s="23" t="s">
        <v>218</v>
      </c>
      <c r="C86" s="22" t="s">
        <v>64</v>
      </c>
      <c r="D86" s="23" t="s">
        <v>127</v>
      </c>
      <c r="E86" s="24">
        <v>15.24</v>
      </c>
      <c r="F86" s="23" t="str">
        <f t="shared" si="1"/>
        <v>IVA incluido</v>
      </c>
      <c r="G86" s="24">
        <f t="shared" si="2"/>
        <v>12.6</v>
      </c>
      <c r="H86" s="31" t="str">
        <f>HYPERLINK("https://forsailors.es/product-page/vectran-22-mm-en-minibobina-de-8-m/","Ficha oficial del producto")</f>
        <v>Ficha oficial del producto</v>
      </c>
      <c r="I86" s="23" t="s">
        <v>244</v>
      </c>
      <c r="J86" s="25">
        <v>46296.0</v>
      </c>
    </row>
    <row r="87" ht="42.0" customHeight="1">
      <c r="A87" s="1" t="s">
        <v>219</v>
      </c>
      <c r="B87" s="15" t="s">
        <v>220</v>
      </c>
      <c r="C87" s="1" t="s">
        <v>64</v>
      </c>
      <c r="D87" s="15" t="s">
        <v>127</v>
      </c>
      <c r="E87" s="20">
        <v>31.93</v>
      </c>
      <c r="F87" s="15" t="str">
        <f t="shared" si="1"/>
        <v>IVA incluido</v>
      </c>
      <c r="G87" s="20">
        <f t="shared" si="2"/>
        <v>26.39</v>
      </c>
      <c r="H87" s="30" t="str">
        <f>HYPERLINK("https://forsailors.es/product-page/vectran-3-mm-en-minibobina-de-16-m/","Ficha oficial del producto")</f>
        <v>Ficha oficial del producto</v>
      </c>
      <c r="I87" s="15" t="s">
        <v>67</v>
      </c>
      <c r="J87" s="21">
        <v>46296.0</v>
      </c>
    </row>
    <row r="88" ht="42.0" customHeight="1">
      <c r="A88" s="22" t="s">
        <v>221</v>
      </c>
      <c r="B88" s="23" t="s">
        <v>222</v>
      </c>
      <c r="C88" s="22" t="s">
        <v>64</v>
      </c>
      <c r="D88" s="23" t="s">
        <v>127</v>
      </c>
      <c r="E88" s="24">
        <v>42.48</v>
      </c>
      <c r="F88" s="23" t="str">
        <f t="shared" si="1"/>
        <v>IVA incluido</v>
      </c>
      <c r="G88" s="24">
        <f t="shared" si="2"/>
        <v>35.11</v>
      </c>
      <c r="H88" s="31" t="str">
        <f>HYPERLINK("https://forsailors.es/product-page/vectran-4-mm-en-minibobina-de-12-m/","Ficha oficial del producto")</f>
        <v>Ficha oficial del producto</v>
      </c>
      <c r="I88" s="23" t="s">
        <v>244</v>
      </c>
      <c r="J88" s="25">
        <v>46296.0</v>
      </c>
    </row>
    <row r="89" ht="60.0" customHeight="1">
      <c r="A89" s="1" t="s">
        <v>224</v>
      </c>
      <c r="B89" s="15" t="s">
        <v>225</v>
      </c>
      <c r="C89" s="1" t="s">
        <v>64</v>
      </c>
      <c r="D89" s="15" t="s">
        <v>251</v>
      </c>
      <c r="E89" s="20">
        <v>10.85</v>
      </c>
      <c r="F89" s="15" t="str">
        <f t="shared" si="1"/>
        <v>IVA incluido</v>
      </c>
      <c r="G89" s="20">
        <f t="shared" si="2"/>
        <v>8.97</v>
      </c>
      <c r="H89" s="30" t="str">
        <f>HYPERLINK("https://forsailors.es/product-page/achicador-de-3-5l-para-optimist-handbailer-3-5-liter-ex1442/?attribute_pa_color=gris","Ficha oficial del producto")</f>
        <v>Ficha oficial del producto</v>
      </c>
      <c r="I89" s="15" t="s">
        <v>200</v>
      </c>
      <c r="J89" s="21">
        <v>46296.0</v>
      </c>
    </row>
    <row r="90" ht="60.0" customHeight="1">
      <c r="A90" s="22" t="s">
        <v>226</v>
      </c>
      <c r="B90" s="23" t="s">
        <v>227</v>
      </c>
      <c r="C90" s="22" t="s">
        <v>64</v>
      </c>
      <c r="D90" s="23" t="s">
        <v>251</v>
      </c>
      <c r="E90" s="24">
        <v>10.85</v>
      </c>
      <c r="F90" s="23" t="str">
        <f t="shared" si="1"/>
        <v>IVA incluido</v>
      </c>
      <c r="G90" s="24">
        <f t="shared" si="2"/>
        <v>8.97</v>
      </c>
      <c r="H90" s="31" t="str">
        <f>HYPERLINK("https://forsailors.es/product-page/achicador-de-3-5l-para-optimist-handbailer-3-5-liter-ex1442/?attribute_pa_color=rojo","Ficha oficial del producto")</f>
        <v>Ficha oficial del producto</v>
      </c>
      <c r="I90" s="23" t="s">
        <v>200</v>
      </c>
      <c r="J90" s="25">
        <v>46296.0</v>
      </c>
    </row>
    <row r="91" ht="60.0" customHeight="1">
      <c r="A91" s="1" t="s">
        <v>228</v>
      </c>
      <c r="B91" s="15" t="s">
        <v>229</v>
      </c>
      <c r="C91" s="1" t="s">
        <v>64</v>
      </c>
      <c r="D91" s="15" t="s">
        <v>251</v>
      </c>
      <c r="E91" s="20">
        <v>10.85</v>
      </c>
      <c r="F91" s="15" t="str">
        <f t="shared" si="1"/>
        <v>IVA incluido</v>
      </c>
      <c r="G91" s="20">
        <f t="shared" si="2"/>
        <v>8.97</v>
      </c>
      <c r="H91" s="30" t="str">
        <f>HYPERLINK("https://forsailors.es/product-page/achicador-de-3-5l-para-optimist-handbailer-3-5-liter-ex1442/?attribute_pa_color=verde","Ficha oficial del producto")</f>
        <v>Ficha oficial del producto</v>
      </c>
      <c r="I91" s="15" t="s">
        <v>200</v>
      </c>
      <c r="J91" s="21">
        <v>46296.0</v>
      </c>
    </row>
    <row r="92" ht="42.0" customHeight="1">
      <c r="A92" s="22" t="s">
        <v>230</v>
      </c>
      <c r="B92" s="23" t="s">
        <v>231</v>
      </c>
      <c r="C92" s="22" t="s">
        <v>64</v>
      </c>
      <c r="D92" s="23" t="s">
        <v>251</v>
      </c>
      <c r="E92" s="24">
        <v>41.65</v>
      </c>
      <c r="F92" s="23" t="str">
        <f t="shared" si="1"/>
        <v>IVA incluido</v>
      </c>
      <c r="G92" s="24">
        <f t="shared" si="2"/>
        <v>34.42</v>
      </c>
      <c r="H92" s="31" t="str">
        <f>HYPERLINK("https://forsailors.es/product-page/ayuda-a-la-flotacion-typhoon-hudson-50n/?attribute_color=azul&amp;attribute_talla=M-L","Ficha oficial del producto")</f>
        <v>Ficha oficial del producto</v>
      </c>
      <c r="I92" s="23" t="s">
        <v>67</v>
      </c>
      <c r="J92" s="25">
        <v>46296.0</v>
      </c>
    </row>
    <row r="93" ht="42.0" customHeight="1">
      <c r="A93" s="1" t="s">
        <v>232</v>
      </c>
      <c r="B93" s="15" t="s">
        <v>233</v>
      </c>
      <c r="C93" s="1" t="s">
        <v>64</v>
      </c>
      <c r="D93" s="15" t="s">
        <v>251</v>
      </c>
      <c r="E93" s="20">
        <v>41.65</v>
      </c>
      <c r="F93" s="15" t="str">
        <f t="shared" si="1"/>
        <v>IVA incluido</v>
      </c>
      <c r="G93" s="20">
        <f t="shared" si="2"/>
        <v>34.42</v>
      </c>
      <c r="H93" s="30" t="str">
        <f>HYPERLINK("https://forsailors.es/product-page/ayuda-a-la-flotacion-typhoon-hudson-50n/?attribute_color=azul&amp;attribute_talla=XL-XXL","Ficha oficial del producto")</f>
        <v>Ficha oficial del producto</v>
      </c>
      <c r="I93" s="15" t="s">
        <v>67</v>
      </c>
      <c r="J93" s="21">
        <v>46296.0</v>
      </c>
    </row>
    <row r="94" ht="42.0" customHeight="1">
      <c r="A94" s="22" t="s">
        <v>234</v>
      </c>
      <c r="B94" s="23" t="s">
        <v>235</v>
      </c>
      <c r="C94" s="22" t="s">
        <v>64</v>
      </c>
      <c r="D94" s="23" t="s">
        <v>251</v>
      </c>
      <c r="E94" s="24">
        <v>41.65</v>
      </c>
      <c r="F94" s="23" t="str">
        <f t="shared" si="1"/>
        <v>IVA incluido</v>
      </c>
      <c r="G94" s="24">
        <f t="shared" si="2"/>
        <v>34.42</v>
      </c>
      <c r="H94" s="31" t="str">
        <f>HYPERLINK("https://forsailors.es/product-page/ayuda-a-la-flotacion-typhoon-hudson-50n/?attribute_color=azul&amp;attribute_talla=XS-S","Ficha oficial del producto")</f>
        <v>Ficha oficial del producto</v>
      </c>
      <c r="I94" s="23" t="s">
        <v>67</v>
      </c>
      <c r="J94" s="25">
        <v>46296.0</v>
      </c>
    </row>
    <row r="95" ht="42.0" customHeight="1">
      <c r="A95" s="1" t="s">
        <v>236</v>
      </c>
      <c r="B95" s="15" t="s">
        <v>237</v>
      </c>
      <c r="C95" s="1" t="s">
        <v>64</v>
      </c>
      <c r="D95" s="15" t="s">
        <v>251</v>
      </c>
      <c r="E95" s="20">
        <v>41.65</v>
      </c>
      <c r="F95" s="15" t="str">
        <f t="shared" si="1"/>
        <v>IVA incluido</v>
      </c>
      <c r="G95" s="20">
        <f t="shared" si="2"/>
        <v>34.42</v>
      </c>
      <c r="H95" s="30" t="str">
        <f>HYPERLINK("https://forsailors.es/product-page/ayuda-a-la-flotacion-typhoon-hudson-50n/?attribute_color=naranja&amp;attribute_talla=M-L","Ficha oficial del producto")</f>
        <v>Ficha oficial del producto</v>
      </c>
      <c r="I95" s="15" t="s">
        <v>67</v>
      </c>
      <c r="J95" s="21">
        <v>46296.0</v>
      </c>
    </row>
    <row r="96" ht="42.0" customHeight="1">
      <c r="A96" s="22" t="s">
        <v>238</v>
      </c>
      <c r="B96" s="23" t="s">
        <v>239</v>
      </c>
      <c r="C96" s="22" t="s">
        <v>64</v>
      </c>
      <c r="D96" s="23" t="s">
        <v>251</v>
      </c>
      <c r="E96" s="24">
        <v>41.65</v>
      </c>
      <c r="F96" s="23" t="str">
        <f t="shared" si="1"/>
        <v>IVA incluido</v>
      </c>
      <c r="G96" s="24">
        <f t="shared" si="2"/>
        <v>34.42</v>
      </c>
      <c r="H96" s="31" t="str">
        <f>HYPERLINK("https://forsailors.es/product-page/ayuda-a-la-flotacion-typhoon-hudson-50n/?attribute_color=naranja&amp;attribute_talla=XL-XXL","Ficha oficial del producto")</f>
        <v>Ficha oficial del producto</v>
      </c>
      <c r="I96" s="23" t="s">
        <v>67</v>
      </c>
      <c r="J96" s="25">
        <v>46296.0</v>
      </c>
    </row>
    <row r="97" ht="42.0" customHeight="1">
      <c r="A97" s="1" t="s">
        <v>240</v>
      </c>
      <c r="B97" s="15" t="s">
        <v>241</v>
      </c>
      <c r="C97" s="1" t="s">
        <v>64</v>
      </c>
      <c r="D97" s="15" t="s">
        <v>251</v>
      </c>
      <c r="E97" s="20">
        <v>41.65</v>
      </c>
      <c r="F97" s="15" t="str">
        <f t="shared" si="1"/>
        <v>IVA incluido</v>
      </c>
      <c r="G97" s="20">
        <f t="shared" si="2"/>
        <v>34.42</v>
      </c>
      <c r="H97" s="30" t="str">
        <f>HYPERLINK("https://forsailors.es/product-page/ayuda-a-la-flotacion-typhoon-hudson-50n/?attribute_color=naranja&amp;attribute_talla=XS-S","Ficha oficial del producto")</f>
        <v>Ficha oficial del producto</v>
      </c>
      <c r="I97" s="15" t="s">
        <v>67</v>
      </c>
      <c r="J97" s="21">
        <v>46296.0</v>
      </c>
    </row>
    <row r="98" ht="42.0" customHeight="1">
      <c r="A98" s="22" t="s">
        <v>242</v>
      </c>
      <c r="B98" s="23" t="s">
        <v>243</v>
      </c>
      <c r="C98" s="22" t="s">
        <v>64</v>
      </c>
      <c r="D98" s="23" t="s">
        <v>251</v>
      </c>
      <c r="E98" s="24">
        <v>41.65</v>
      </c>
      <c r="F98" s="23" t="str">
        <f t="shared" si="1"/>
        <v>IVA incluido</v>
      </c>
      <c r="G98" s="24">
        <f t="shared" si="2"/>
        <v>34.42</v>
      </c>
      <c r="H98" s="31" t="str">
        <f>HYPERLINK("https://forsailors.es/product-page/ayuda-a-la-flotacion-typhoon-hudson-50n/?attribute_color=negro&amp;attribute_talla=M-L","Ficha oficial del producto")</f>
        <v>Ficha oficial del producto</v>
      </c>
      <c r="I98" s="23" t="s">
        <v>67</v>
      </c>
      <c r="J98" s="25">
        <v>46296.0</v>
      </c>
    </row>
    <row r="99" ht="42.0" customHeight="1">
      <c r="A99" s="1" t="s">
        <v>245</v>
      </c>
      <c r="B99" s="15" t="s">
        <v>246</v>
      </c>
      <c r="C99" s="1" t="s">
        <v>64</v>
      </c>
      <c r="D99" s="15" t="s">
        <v>251</v>
      </c>
      <c r="E99" s="20">
        <v>41.65</v>
      </c>
      <c r="F99" s="15" t="str">
        <f t="shared" si="1"/>
        <v>IVA incluido</v>
      </c>
      <c r="G99" s="20">
        <f t="shared" si="2"/>
        <v>34.42</v>
      </c>
      <c r="H99" s="30" t="str">
        <f>HYPERLINK("https://forsailors.es/product-page/ayuda-a-la-flotacion-typhoon-hudson-50n/?attribute_color=negro&amp;attribute_talla=XL-XXL","Ficha oficial del producto")</f>
        <v>Ficha oficial del producto</v>
      </c>
      <c r="I99" s="15" t="s">
        <v>67</v>
      </c>
      <c r="J99" s="21">
        <v>46296.0</v>
      </c>
    </row>
    <row r="100" ht="42.0" customHeight="1">
      <c r="A100" s="22" t="s">
        <v>247</v>
      </c>
      <c r="B100" s="23" t="s">
        <v>248</v>
      </c>
      <c r="C100" s="22" t="s">
        <v>64</v>
      </c>
      <c r="D100" s="23" t="s">
        <v>251</v>
      </c>
      <c r="E100" s="24">
        <v>41.65</v>
      </c>
      <c r="F100" s="23" t="str">
        <f t="shared" si="1"/>
        <v>IVA incluido</v>
      </c>
      <c r="G100" s="24">
        <f t="shared" si="2"/>
        <v>34.42</v>
      </c>
      <c r="H100" s="31" t="str">
        <f>HYPERLINK("https://forsailors.es/product-page/ayuda-a-la-flotacion-typhoon-hudson-50n/?attribute_color=negro&amp;attribute_talla=XS-S","Ficha oficial del producto")</f>
        <v>Ficha oficial del producto</v>
      </c>
      <c r="I100" s="23" t="s">
        <v>67</v>
      </c>
      <c r="J100" s="25">
        <v>46296.0</v>
      </c>
    </row>
    <row r="101" ht="42.0" customHeight="1">
      <c r="A101" s="1" t="s">
        <v>249</v>
      </c>
      <c r="B101" s="15" t="s">
        <v>250</v>
      </c>
      <c r="C101" s="1" t="s">
        <v>64</v>
      </c>
      <c r="D101" s="15" t="s">
        <v>251</v>
      </c>
      <c r="E101" s="20">
        <v>10.0</v>
      </c>
      <c r="F101" s="15" t="str">
        <f t="shared" si="1"/>
        <v>IVA incluido</v>
      </c>
      <c r="G101" s="20">
        <f t="shared" si="2"/>
        <v>8.26</v>
      </c>
      <c r="H101" s="30" t="str">
        <f>HYPERLINK("https://forsailors.es/product-page/cabo-de-remolque-flotante-optimist/","Ficha oficial del producto")</f>
        <v>Ficha oficial del producto</v>
      </c>
      <c r="I101" s="15" t="s">
        <v>82</v>
      </c>
      <c r="J101" s="21">
        <v>46296.0</v>
      </c>
    </row>
    <row r="102" ht="42.0" customHeight="1">
      <c r="A102" s="22" t="s">
        <v>252</v>
      </c>
      <c r="B102" s="23" t="s">
        <v>253</v>
      </c>
      <c r="C102" s="22" t="s">
        <v>64</v>
      </c>
      <c r="D102" s="23" t="s">
        <v>251</v>
      </c>
      <c r="E102" s="24">
        <v>13.2</v>
      </c>
      <c r="F102" s="23" t="str">
        <f t="shared" si="1"/>
        <v>IVA incluido</v>
      </c>
      <c r="G102" s="24">
        <f t="shared" si="2"/>
        <v>10.91</v>
      </c>
      <c r="H102" s="31" t="str">
        <f>HYPERLINK("https://forsailors.es/product-page/cabo-flotante-remolque-ilca/","Ficha oficial del producto")</f>
        <v>Ficha oficial del producto</v>
      </c>
      <c r="I102" s="23" t="s">
        <v>82</v>
      </c>
      <c r="J102" s="25">
        <v>46296.0</v>
      </c>
    </row>
    <row r="103" ht="42.0" customHeight="1">
      <c r="A103" s="1" t="s">
        <v>254</v>
      </c>
      <c r="B103" s="15" t="s">
        <v>255</v>
      </c>
      <c r="C103" s="1" t="s">
        <v>64</v>
      </c>
      <c r="D103" s="15" t="s">
        <v>251</v>
      </c>
      <c r="E103" s="20">
        <v>41.23</v>
      </c>
      <c r="F103" s="15" t="str">
        <f t="shared" si="1"/>
        <v>IVA incluido</v>
      </c>
      <c r="G103" s="20">
        <f t="shared" si="2"/>
        <v>34.07</v>
      </c>
      <c r="H103" s="30" t="str">
        <f>HYPERLINK("https://forsailors.es/product-page/flotador-blanco-48-l/","Ficha oficial del producto")</f>
        <v>Ficha oficial del producto</v>
      </c>
      <c r="I103" s="15" t="s">
        <v>67</v>
      </c>
      <c r="J103" s="21">
        <v>46296.0</v>
      </c>
    </row>
    <row r="104" ht="42.0" customHeight="1">
      <c r="A104" s="22" t="s">
        <v>256</v>
      </c>
      <c r="B104" s="23" t="s">
        <v>257</v>
      </c>
      <c r="C104" s="22" t="s">
        <v>64</v>
      </c>
      <c r="D104" s="23" t="s">
        <v>251</v>
      </c>
      <c r="E104" s="24">
        <v>32.29</v>
      </c>
      <c r="F104" s="23" t="str">
        <f t="shared" si="1"/>
        <v>IVA incluido</v>
      </c>
      <c r="G104" s="24">
        <f t="shared" si="2"/>
        <v>26.69</v>
      </c>
      <c r="H104" s="31" t="str">
        <f>HYPERLINK("https://forsailors.es/product-page/flotador-gris-43-l-con-logotipo/","Ficha oficial del producto")</f>
        <v>Ficha oficial del producto</v>
      </c>
      <c r="I104" s="23" t="s">
        <v>67</v>
      </c>
      <c r="J104" s="25">
        <v>46296.0</v>
      </c>
    </row>
    <row r="105" ht="42.0" customHeight="1">
      <c r="A105" s="1" t="s">
        <v>258</v>
      </c>
      <c r="B105" s="15" t="s">
        <v>259</v>
      </c>
      <c r="C105" s="1" t="s">
        <v>64</v>
      </c>
      <c r="D105" s="15" t="s">
        <v>251</v>
      </c>
      <c r="E105" s="20">
        <v>35.0</v>
      </c>
      <c r="F105" s="15" t="str">
        <f t="shared" si="1"/>
        <v>IVA incluido</v>
      </c>
      <c r="G105" s="20">
        <f t="shared" si="2"/>
        <v>28.93</v>
      </c>
      <c r="H105" s="30" t="str">
        <f>HYPERLINK("https://forsailors.es/product-page/flotador-gris-43l-optimist-ex1215/","Ficha oficial del producto")</f>
        <v>Ficha oficial del producto</v>
      </c>
      <c r="I105" s="15" t="s">
        <v>82</v>
      </c>
      <c r="J105" s="21">
        <v>46296.0</v>
      </c>
    </row>
    <row r="106" ht="60.0" customHeight="1">
      <c r="A106" s="22" t="s">
        <v>260</v>
      </c>
      <c r="B106" s="23" t="s">
        <v>261</v>
      </c>
      <c r="C106" s="22" t="s">
        <v>64</v>
      </c>
      <c r="D106" s="23" t="s">
        <v>251</v>
      </c>
      <c r="E106" s="24">
        <v>41.96</v>
      </c>
      <c r="F106" s="23" t="str">
        <f t="shared" si="1"/>
        <v>IVA incluido</v>
      </c>
      <c r="G106" s="24">
        <f t="shared" si="2"/>
        <v>34.68</v>
      </c>
      <c r="H106" s="31" t="str">
        <f>HYPERLINK("https://forsailors.es/product-page/flotador-optimist-48l-con-tubo-ex1224/?attribute_pa_color=amarillo","Ficha oficial del producto")</f>
        <v>Ficha oficial del producto</v>
      </c>
      <c r="I106" s="23" t="s">
        <v>200</v>
      </c>
      <c r="J106" s="25">
        <v>46296.0</v>
      </c>
    </row>
    <row r="107" ht="60.0" customHeight="1">
      <c r="A107" s="1" t="s">
        <v>262</v>
      </c>
      <c r="B107" s="15" t="s">
        <v>263</v>
      </c>
      <c r="C107" s="1" t="s">
        <v>64</v>
      </c>
      <c r="D107" s="15" t="s">
        <v>251</v>
      </c>
      <c r="E107" s="20">
        <v>41.96</v>
      </c>
      <c r="F107" s="15" t="str">
        <f t="shared" si="1"/>
        <v>IVA incluido</v>
      </c>
      <c r="G107" s="20">
        <f t="shared" si="2"/>
        <v>34.68</v>
      </c>
      <c r="H107" s="30" t="str">
        <f>HYPERLINK("https://forsailors.es/product-page/flotador-optimist-48l-con-tubo-ex1224/?attribute_pa_color=azul","Ficha oficial del producto")</f>
        <v>Ficha oficial del producto</v>
      </c>
      <c r="I107" s="15" t="s">
        <v>200</v>
      </c>
      <c r="J107" s="21">
        <v>46296.0</v>
      </c>
    </row>
    <row r="108" ht="60.0" customHeight="1">
      <c r="A108" s="22" t="s">
        <v>264</v>
      </c>
      <c r="B108" s="23" t="s">
        <v>265</v>
      </c>
      <c r="C108" s="22" t="s">
        <v>64</v>
      </c>
      <c r="D108" s="23" t="s">
        <v>251</v>
      </c>
      <c r="E108" s="24">
        <v>41.96</v>
      </c>
      <c r="F108" s="23" t="str">
        <f t="shared" si="1"/>
        <v>IVA incluido</v>
      </c>
      <c r="G108" s="24">
        <f t="shared" si="2"/>
        <v>34.68</v>
      </c>
      <c r="H108" s="31" t="str">
        <f>HYPERLINK("https://forsailors.es/product-page/flotador-optimist-48l-con-tubo-ex1224/?attribute_pa_color=azul-gris","Ficha oficial del producto")</f>
        <v>Ficha oficial del producto</v>
      </c>
      <c r="I108" s="23" t="s">
        <v>200</v>
      </c>
      <c r="J108" s="25">
        <v>46296.0</v>
      </c>
    </row>
    <row r="109" ht="60.0" customHeight="1">
      <c r="A109" s="1" t="s">
        <v>266</v>
      </c>
      <c r="B109" s="15" t="s">
        <v>267</v>
      </c>
      <c r="C109" s="1" t="s">
        <v>64</v>
      </c>
      <c r="D109" s="15" t="s">
        <v>251</v>
      </c>
      <c r="E109" s="20">
        <v>41.96</v>
      </c>
      <c r="F109" s="15" t="str">
        <f t="shared" si="1"/>
        <v>IVA incluido</v>
      </c>
      <c r="G109" s="20">
        <f t="shared" si="2"/>
        <v>34.68</v>
      </c>
      <c r="H109" s="30" t="str">
        <f>HYPERLINK("https://forsailors.es/product-page/flotador-optimist-48l-con-tubo-ex1224/?attribute_pa_color=naranja","Ficha oficial del producto")</f>
        <v>Ficha oficial del producto</v>
      </c>
      <c r="I109" s="15" t="s">
        <v>200</v>
      </c>
      <c r="J109" s="21">
        <v>46296.0</v>
      </c>
    </row>
    <row r="110" ht="60.0" customHeight="1">
      <c r="A110" s="22" t="s">
        <v>268</v>
      </c>
      <c r="B110" s="23" t="s">
        <v>269</v>
      </c>
      <c r="C110" s="22" t="s">
        <v>64</v>
      </c>
      <c r="D110" s="23" t="s">
        <v>251</v>
      </c>
      <c r="E110" s="24">
        <v>41.96</v>
      </c>
      <c r="F110" s="23" t="str">
        <f t="shared" si="1"/>
        <v>IVA incluido</v>
      </c>
      <c r="G110" s="24">
        <f t="shared" si="2"/>
        <v>34.68</v>
      </c>
      <c r="H110" s="31" t="str">
        <f>HYPERLINK("https://forsailors.es/product-page/flotador-optimist-48l-con-tubo-ex1224/?attribute_pa_color=rojo","Ficha oficial del producto")</f>
        <v>Ficha oficial del producto</v>
      </c>
      <c r="I110" s="23" t="s">
        <v>200</v>
      </c>
      <c r="J110" s="25">
        <v>46296.0</v>
      </c>
    </row>
    <row r="111" ht="60.0" customHeight="1">
      <c r="A111" s="1" t="s">
        <v>270</v>
      </c>
      <c r="B111" s="15" t="s">
        <v>271</v>
      </c>
      <c r="C111" s="1" t="s">
        <v>64</v>
      </c>
      <c r="D111" s="15" t="s">
        <v>251</v>
      </c>
      <c r="E111" s="20">
        <v>41.96</v>
      </c>
      <c r="F111" s="15" t="str">
        <f t="shared" si="1"/>
        <v>IVA incluido</v>
      </c>
      <c r="G111" s="20">
        <f t="shared" si="2"/>
        <v>34.68</v>
      </c>
      <c r="H111" s="30" t="str">
        <f>HYPERLINK("https://forsailors.es/product-page/flotador-optimist-48l-con-tubo-ex1224/?attribute_pa_color=rosa","Ficha oficial del producto")</f>
        <v>Ficha oficial del producto</v>
      </c>
      <c r="I111" s="15" t="s">
        <v>200</v>
      </c>
      <c r="J111" s="21">
        <v>46296.0</v>
      </c>
    </row>
    <row r="112" ht="42.0" customHeight="1">
      <c r="A112" s="22" t="s">
        <v>272</v>
      </c>
      <c r="B112" s="23" t="s">
        <v>273</v>
      </c>
      <c r="C112" s="22" t="s">
        <v>64</v>
      </c>
      <c r="D112" s="23" t="s">
        <v>251</v>
      </c>
      <c r="E112" s="24">
        <v>17.9</v>
      </c>
      <c r="F112" s="23" t="str">
        <f t="shared" si="1"/>
        <v>IVA incluido</v>
      </c>
      <c r="G112" s="24">
        <f t="shared" si="2"/>
        <v>14.79</v>
      </c>
      <c r="H112" s="31" t="str">
        <f>HYPERLINK("https://forsailors.es/product-page/flotador-pvc/","Ficha oficial del producto")</f>
        <v>Ficha oficial del producto</v>
      </c>
      <c r="I112" s="23" t="s">
        <v>82</v>
      </c>
      <c r="J112" s="25">
        <v>46296.0</v>
      </c>
    </row>
    <row r="113" ht="42.0" customHeight="1">
      <c r="A113" s="1" t="s">
        <v>274</v>
      </c>
      <c r="B113" s="15" t="s">
        <v>275</v>
      </c>
      <c r="C113" s="1" t="s">
        <v>64</v>
      </c>
      <c r="D113" s="15" t="s">
        <v>251</v>
      </c>
      <c r="E113" s="20">
        <v>41.96</v>
      </c>
      <c r="F113" s="15" t="str">
        <f t="shared" si="1"/>
        <v>IVA incluido</v>
      </c>
      <c r="G113" s="20">
        <f t="shared" si="2"/>
        <v>34.68</v>
      </c>
      <c r="H113" s="30" t="str">
        <f>HYPERLINK("https://forsailors.es/product-page/flotador-optimist-rojo-43-l-optiparts-ex1216/","Ficha oficial del producto")</f>
        <v>Ficha oficial del producto</v>
      </c>
      <c r="I113" s="15" t="s">
        <v>67</v>
      </c>
      <c r="J113" s="21">
        <v>46296.0</v>
      </c>
    </row>
    <row r="114" ht="42.0" customHeight="1">
      <c r="A114" s="22" t="s">
        <v>276</v>
      </c>
      <c r="B114" s="23" t="s">
        <v>277</v>
      </c>
      <c r="C114" s="22" t="s">
        <v>64</v>
      </c>
      <c r="D114" s="23" t="s">
        <v>251</v>
      </c>
      <c r="E114" s="24">
        <v>14.2</v>
      </c>
      <c r="F114" s="23" t="str">
        <f t="shared" si="1"/>
        <v>IVA incluido</v>
      </c>
      <c r="G114" s="24">
        <f t="shared" si="2"/>
        <v>11.74</v>
      </c>
      <c r="H114" s="31" t="str">
        <f>HYPERLINK("https://forsailors.es/product-page/remo-optimist-naranja-optiparts-ex1440/?attribute_pa_color=gris","Ficha oficial del producto")</f>
        <v>Ficha oficial del producto</v>
      </c>
      <c r="I114" s="23" t="s">
        <v>82</v>
      </c>
      <c r="J114" s="25">
        <v>46296.0</v>
      </c>
    </row>
    <row r="115" ht="42.0" customHeight="1">
      <c r="A115" s="1" t="s">
        <v>278</v>
      </c>
      <c r="B115" s="15" t="s">
        <v>279</v>
      </c>
      <c r="C115" s="1" t="s">
        <v>64</v>
      </c>
      <c r="D115" s="15" t="s">
        <v>251</v>
      </c>
      <c r="E115" s="20">
        <v>14.2</v>
      </c>
      <c r="F115" s="15" t="str">
        <f t="shared" si="1"/>
        <v>IVA incluido</v>
      </c>
      <c r="G115" s="20">
        <f t="shared" si="2"/>
        <v>11.74</v>
      </c>
      <c r="H115" s="30" t="str">
        <f>HYPERLINK("https://forsailors.es/product-page/remo-optimist-naranja-optiparts-ex1440/?attribute_pa_color=naranja","Ficha oficial del producto")</f>
        <v>Ficha oficial del producto</v>
      </c>
      <c r="I115" s="15" t="s">
        <v>82</v>
      </c>
      <c r="J115" s="21">
        <v>46296.0</v>
      </c>
    </row>
    <row r="116" ht="42.0" customHeight="1">
      <c r="A116" s="22" t="s">
        <v>280</v>
      </c>
      <c r="B116" s="23" t="s">
        <v>281</v>
      </c>
      <c r="C116" s="22" t="s">
        <v>64</v>
      </c>
      <c r="D116" s="23" t="s">
        <v>251</v>
      </c>
      <c r="E116" s="24">
        <v>30.25</v>
      </c>
      <c r="F116" s="23" t="str">
        <f t="shared" si="1"/>
        <v>IVA incluido</v>
      </c>
      <c r="G116" s="24">
        <f t="shared" si="2"/>
        <v>25</v>
      </c>
      <c r="H116" s="31" t="str">
        <f>HYPERLINK("https://forsailors.es/product-page/typhoon-essential-50n-chaleco-flotabilidad-escuelas-vela/?attribute_color=Amarillo&amp;attribute_talla=Junior","Ficha oficial del producto")</f>
        <v>Ficha oficial del producto</v>
      </c>
      <c r="I116" s="23" t="s">
        <v>67</v>
      </c>
      <c r="J116" s="25">
        <v>46296.0</v>
      </c>
    </row>
    <row r="117" ht="42.0" customHeight="1">
      <c r="A117" s="1" t="s">
        <v>282</v>
      </c>
      <c r="B117" s="15" t="s">
        <v>283</v>
      </c>
      <c r="C117" s="1" t="s">
        <v>64</v>
      </c>
      <c r="D117" s="15" t="s">
        <v>251</v>
      </c>
      <c r="E117" s="20">
        <v>30.25</v>
      </c>
      <c r="F117" s="15" t="str">
        <f t="shared" si="1"/>
        <v>IVA incluido</v>
      </c>
      <c r="G117" s="20">
        <f t="shared" si="2"/>
        <v>25</v>
      </c>
      <c r="H117" s="30" t="str">
        <f>HYPERLINK("https://forsailors.es/product-page/typhoon-essential-50n-chaleco-flotabilidad-escuelas-vela/?attribute_color=Amarillo&amp;attribute_talla=M%2FL","Ficha oficial del producto")</f>
        <v>Ficha oficial del producto</v>
      </c>
      <c r="I117" s="15" t="s">
        <v>67</v>
      </c>
      <c r="J117" s="21">
        <v>46296.0</v>
      </c>
    </row>
    <row r="118" ht="42.0" customHeight="1">
      <c r="A118" s="22" t="s">
        <v>284</v>
      </c>
      <c r="B118" s="23" t="s">
        <v>285</v>
      </c>
      <c r="C118" s="22" t="s">
        <v>64</v>
      </c>
      <c r="D118" s="23" t="s">
        <v>251</v>
      </c>
      <c r="E118" s="24">
        <v>30.25</v>
      </c>
      <c r="F118" s="23" t="str">
        <f t="shared" si="1"/>
        <v>IVA incluido</v>
      </c>
      <c r="G118" s="24">
        <f t="shared" si="2"/>
        <v>25</v>
      </c>
      <c r="H118" s="31" t="str">
        <f>HYPERLINK("https://forsailors.es/product-page/typhoon-essential-50n-chaleco-flotabilidad-escuelas-vela/?attribute_color=Amarillo&amp;attribute_talla=XL%2FXXL","Ficha oficial del producto")</f>
        <v>Ficha oficial del producto</v>
      </c>
      <c r="I118" s="23" t="s">
        <v>67</v>
      </c>
      <c r="J118" s="25">
        <v>46296.0</v>
      </c>
    </row>
    <row r="119" ht="42.0" customHeight="1">
      <c r="A119" s="1" t="s">
        <v>286</v>
      </c>
      <c r="B119" s="15" t="s">
        <v>287</v>
      </c>
      <c r="C119" s="1" t="s">
        <v>64</v>
      </c>
      <c r="D119" s="15" t="s">
        <v>251</v>
      </c>
      <c r="E119" s="20">
        <v>30.25</v>
      </c>
      <c r="F119" s="15" t="str">
        <f t="shared" si="1"/>
        <v>IVA incluido</v>
      </c>
      <c r="G119" s="20">
        <f t="shared" si="2"/>
        <v>25</v>
      </c>
      <c r="H119" s="30" t="str">
        <f>HYPERLINK("https://forsailors.es/product-page/typhoon-essential-50n-chaleco-flotabilidad-escuelas-vela/?attribute_color=Amarillo&amp;attribute_talla=XS%2FS","Ficha oficial del producto")</f>
        <v>Ficha oficial del producto</v>
      </c>
      <c r="I119" s="15" t="s">
        <v>67</v>
      </c>
      <c r="J119" s="21">
        <v>46296.0</v>
      </c>
    </row>
    <row r="120" ht="42.0" customHeight="1">
      <c r="A120" s="22" t="s">
        <v>288</v>
      </c>
      <c r="B120" s="23" t="s">
        <v>289</v>
      </c>
      <c r="C120" s="22" t="s">
        <v>64</v>
      </c>
      <c r="D120" s="23" t="s">
        <v>251</v>
      </c>
      <c r="E120" s="24">
        <v>30.25</v>
      </c>
      <c r="F120" s="23" t="str">
        <f t="shared" si="1"/>
        <v>IVA incluido</v>
      </c>
      <c r="G120" s="24">
        <f t="shared" si="2"/>
        <v>25</v>
      </c>
      <c r="H120" s="31" t="str">
        <f>HYPERLINK("https://forsailors.es/product-page/typhoon-essential-50n-chaleco-flotabilidad-escuelas-vela/?attribute_color=Azul&amp;attribute_talla=Junior","Ficha oficial del producto")</f>
        <v>Ficha oficial del producto</v>
      </c>
      <c r="I120" s="23" t="s">
        <v>67</v>
      </c>
      <c r="J120" s="25">
        <v>46296.0</v>
      </c>
    </row>
    <row r="121" ht="42.0" customHeight="1">
      <c r="A121" s="1" t="s">
        <v>290</v>
      </c>
      <c r="B121" s="15" t="s">
        <v>291</v>
      </c>
      <c r="C121" s="1" t="s">
        <v>64</v>
      </c>
      <c r="D121" s="15" t="s">
        <v>251</v>
      </c>
      <c r="E121" s="20">
        <v>30.25</v>
      </c>
      <c r="F121" s="15" t="str">
        <f t="shared" si="1"/>
        <v>IVA incluido</v>
      </c>
      <c r="G121" s="20">
        <f t="shared" si="2"/>
        <v>25</v>
      </c>
      <c r="H121" s="30" t="str">
        <f>HYPERLINK("https://forsailors.es/product-page/typhoon-essential-50n-chaleco-flotabilidad-escuelas-vela/?attribute_color=Azul&amp;attribute_talla=M%2FL","Ficha oficial del producto")</f>
        <v>Ficha oficial del producto</v>
      </c>
      <c r="I121" s="15" t="s">
        <v>67</v>
      </c>
      <c r="J121" s="21">
        <v>46296.0</v>
      </c>
    </row>
    <row r="122" ht="42.0" customHeight="1">
      <c r="A122" s="22" t="s">
        <v>292</v>
      </c>
      <c r="B122" s="23" t="s">
        <v>293</v>
      </c>
      <c r="C122" s="22" t="s">
        <v>64</v>
      </c>
      <c r="D122" s="23" t="s">
        <v>251</v>
      </c>
      <c r="E122" s="24">
        <v>30.25</v>
      </c>
      <c r="F122" s="23" t="str">
        <f t="shared" si="1"/>
        <v>IVA incluido</v>
      </c>
      <c r="G122" s="24">
        <f t="shared" si="2"/>
        <v>25</v>
      </c>
      <c r="H122" s="31" t="str">
        <f>HYPERLINK("https://forsailors.es/product-page/typhoon-essential-50n-chaleco-flotabilidad-escuelas-vela/?attribute_color=Azul&amp;attribute_talla=XL%2FXXL","Ficha oficial del producto")</f>
        <v>Ficha oficial del producto</v>
      </c>
      <c r="I122" s="23" t="s">
        <v>67</v>
      </c>
      <c r="J122" s="25">
        <v>46296.0</v>
      </c>
    </row>
    <row r="123" ht="42.0" customHeight="1">
      <c r="A123" s="1" t="s">
        <v>294</v>
      </c>
      <c r="B123" s="15" t="s">
        <v>295</v>
      </c>
      <c r="C123" s="1" t="s">
        <v>64</v>
      </c>
      <c r="D123" s="15" t="s">
        <v>251</v>
      </c>
      <c r="E123" s="20">
        <v>30.25</v>
      </c>
      <c r="F123" s="15" t="str">
        <f t="shared" si="1"/>
        <v>IVA incluido</v>
      </c>
      <c r="G123" s="20">
        <f t="shared" si="2"/>
        <v>25</v>
      </c>
      <c r="H123" s="30" t="str">
        <f>HYPERLINK("https://forsailors.es/product-page/typhoon-essential-50n-chaleco-flotabilidad-escuelas-vela/?attribute_color=Azul&amp;attribute_talla=XS%2FS","Ficha oficial del producto")</f>
        <v>Ficha oficial del producto</v>
      </c>
      <c r="I123" s="15" t="s">
        <v>67</v>
      </c>
      <c r="J123" s="21">
        <v>46296.0</v>
      </c>
    </row>
    <row r="124" ht="42.0" customHeight="1">
      <c r="A124" s="22" t="s">
        <v>296</v>
      </c>
      <c r="B124" s="23" t="s">
        <v>297</v>
      </c>
      <c r="C124" s="22" t="s">
        <v>64</v>
      </c>
      <c r="D124" s="23" t="s">
        <v>251</v>
      </c>
      <c r="E124" s="24">
        <v>30.25</v>
      </c>
      <c r="F124" s="23" t="str">
        <f t="shared" si="1"/>
        <v>IVA incluido</v>
      </c>
      <c r="G124" s="24">
        <f t="shared" si="2"/>
        <v>25</v>
      </c>
      <c r="H124" s="31" t="str">
        <f>HYPERLINK("https://forsailors.es/product-page/typhoon-essential-50n-chaleco-flotabilidad-escuelas-vela/?attribute_color=Negro&amp;attribute_talla=Junior","Ficha oficial del producto")</f>
        <v>Ficha oficial del producto</v>
      </c>
      <c r="I124" s="23" t="s">
        <v>67</v>
      </c>
      <c r="J124" s="25">
        <v>46296.0</v>
      </c>
    </row>
    <row r="125" ht="42.0" customHeight="1">
      <c r="A125" s="1" t="s">
        <v>298</v>
      </c>
      <c r="B125" s="15" t="s">
        <v>299</v>
      </c>
      <c r="C125" s="1" t="s">
        <v>64</v>
      </c>
      <c r="D125" s="15" t="s">
        <v>251</v>
      </c>
      <c r="E125" s="20">
        <v>30.25</v>
      </c>
      <c r="F125" s="15" t="str">
        <f t="shared" si="1"/>
        <v>IVA incluido</v>
      </c>
      <c r="G125" s="20">
        <f t="shared" si="2"/>
        <v>25</v>
      </c>
      <c r="H125" s="30" t="str">
        <f>HYPERLINK("https://forsailors.es/product-page/typhoon-essential-50n-chaleco-flotabilidad-escuelas-vela/?attribute_color=Negro&amp;attribute_talla=M%2FL","Ficha oficial del producto")</f>
        <v>Ficha oficial del producto</v>
      </c>
      <c r="I125" s="15" t="s">
        <v>67</v>
      </c>
      <c r="J125" s="21">
        <v>46296.0</v>
      </c>
    </row>
    <row r="126" ht="42.0" customHeight="1">
      <c r="A126" s="22" t="s">
        <v>300</v>
      </c>
      <c r="B126" s="23" t="s">
        <v>301</v>
      </c>
      <c r="C126" s="22" t="s">
        <v>64</v>
      </c>
      <c r="D126" s="23" t="s">
        <v>251</v>
      </c>
      <c r="E126" s="24">
        <v>30.25</v>
      </c>
      <c r="F126" s="23" t="str">
        <f t="shared" si="1"/>
        <v>IVA incluido</v>
      </c>
      <c r="G126" s="24">
        <f t="shared" si="2"/>
        <v>25</v>
      </c>
      <c r="H126" s="31" t="str">
        <f>HYPERLINK("https://forsailors.es/product-page/typhoon-essential-50n-chaleco-flotabilidad-escuelas-vela/?attribute_color=Negro&amp;attribute_talla=XL%2FXXL","Ficha oficial del producto")</f>
        <v>Ficha oficial del producto</v>
      </c>
      <c r="I126" s="23" t="s">
        <v>67</v>
      </c>
      <c r="J126" s="25">
        <v>46296.0</v>
      </c>
    </row>
    <row r="127" ht="42.0" customHeight="1">
      <c r="A127" s="1" t="s">
        <v>302</v>
      </c>
      <c r="B127" s="15" t="s">
        <v>303</v>
      </c>
      <c r="C127" s="1" t="s">
        <v>64</v>
      </c>
      <c r="D127" s="15" t="s">
        <v>251</v>
      </c>
      <c r="E127" s="20">
        <v>30.25</v>
      </c>
      <c r="F127" s="15" t="str">
        <f t="shared" si="1"/>
        <v>IVA incluido</v>
      </c>
      <c r="G127" s="20">
        <f t="shared" si="2"/>
        <v>25</v>
      </c>
      <c r="H127" s="30" t="str">
        <f>HYPERLINK("https://forsailors.es/product-page/typhoon-essential-50n-chaleco-flotabilidad-escuelas-vela/?attribute_color=Negro&amp;attribute_talla=XS%2FS","Ficha oficial del producto")</f>
        <v>Ficha oficial del producto</v>
      </c>
      <c r="I127" s="15" t="s">
        <v>67</v>
      </c>
      <c r="J127" s="21">
        <v>46296.0</v>
      </c>
    </row>
    <row r="128" ht="42.0" customHeight="1">
      <c r="A128" s="22" t="s">
        <v>304</v>
      </c>
      <c r="B128" s="23" t="s">
        <v>305</v>
      </c>
      <c r="C128" s="22" t="s">
        <v>64</v>
      </c>
      <c r="D128" s="23" t="s">
        <v>251</v>
      </c>
      <c r="E128" s="24">
        <v>30.25</v>
      </c>
      <c r="F128" s="23" t="str">
        <f t="shared" si="1"/>
        <v>IVA incluido</v>
      </c>
      <c r="G128" s="24">
        <f t="shared" si="2"/>
        <v>25</v>
      </c>
      <c r="H128" s="31" t="str">
        <f>HYPERLINK("https://forsailors.es/product-page/typhoon-essential-50n-chaleco-flotabilidad-escuelas-vela/?attribute_color=Rojo&amp;attribute_talla=Junior","Ficha oficial del producto")</f>
        <v>Ficha oficial del producto</v>
      </c>
      <c r="I128" s="23" t="s">
        <v>67</v>
      </c>
      <c r="J128" s="25">
        <v>46296.0</v>
      </c>
    </row>
    <row r="129" ht="42.0" customHeight="1">
      <c r="A129" s="1" t="s">
        <v>306</v>
      </c>
      <c r="B129" s="15" t="s">
        <v>307</v>
      </c>
      <c r="C129" s="1" t="s">
        <v>64</v>
      </c>
      <c r="D129" s="15" t="s">
        <v>251</v>
      </c>
      <c r="E129" s="20">
        <v>30.25</v>
      </c>
      <c r="F129" s="15" t="str">
        <f t="shared" si="1"/>
        <v>IVA incluido</v>
      </c>
      <c r="G129" s="20">
        <f t="shared" si="2"/>
        <v>25</v>
      </c>
      <c r="H129" s="30" t="str">
        <f>HYPERLINK("https://forsailors.es/product-page/typhoon-essential-50n-chaleco-flotabilidad-escuelas-vela/?attribute_color=Rojo&amp;attribute_talla=M%2FL","Ficha oficial del producto")</f>
        <v>Ficha oficial del producto</v>
      </c>
      <c r="I129" s="15" t="s">
        <v>67</v>
      </c>
      <c r="J129" s="21">
        <v>46296.0</v>
      </c>
    </row>
    <row r="130" ht="42.0" customHeight="1">
      <c r="A130" s="22" t="s">
        <v>308</v>
      </c>
      <c r="B130" s="23" t="s">
        <v>309</v>
      </c>
      <c r="C130" s="22" t="s">
        <v>64</v>
      </c>
      <c r="D130" s="23" t="s">
        <v>251</v>
      </c>
      <c r="E130" s="24">
        <v>30.25</v>
      </c>
      <c r="F130" s="23" t="str">
        <f t="shared" si="1"/>
        <v>IVA incluido</v>
      </c>
      <c r="G130" s="24">
        <f t="shared" si="2"/>
        <v>25</v>
      </c>
      <c r="H130" s="31" t="str">
        <f>HYPERLINK("https://forsailors.es/product-page/typhoon-essential-50n-chaleco-flotabilidad-escuelas-vela/?attribute_color=Rojo&amp;attribute_talla=XL%2FXXL","Ficha oficial del producto")</f>
        <v>Ficha oficial del producto</v>
      </c>
      <c r="I130" s="23" t="s">
        <v>67</v>
      </c>
      <c r="J130" s="25">
        <v>46296.0</v>
      </c>
    </row>
    <row r="131" ht="42.0" customHeight="1">
      <c r="A131" s="1" t="s">
        <v>310</v>
      </c>
      <c r="B131" s="15" t="s">
        <v>311</v>
      </c>
      <c r="C131" s="1" t="s">
        <v>64</v>
      </c>
      <c r="D131" s="15" t="s">
        <v>251</v>
      </c>
      <c r="E131" s="20">
        <v>30.25</v>
      </c>
      <c r="F131" s="15" t="str">
        <f t="shared" si="1"/>
        <v>IVA incluido</v>
      </c>
      <c r="G131" s="20">
        <f t="shared" si="2"/>
        <v>25</v>
      </c>
      <c r="H131" s="30" t="str">
        <f>HYPERLINK("https://forsailors.es/product-page/typhoon-essential-50n-chaleco-flotabilidad-escuelas-vela/?attribute_color=Rojo&amp;attribute_talla=XS%2FS","Ficha oficial del producto")</f>
        <v>Ficha oficial del producto</v>
      </c>
      <c r="I131" s="15" t="s">
        <v>67</v>
      </c>
      <c r="J131" s="21">
        <v>46296.0</v>
      </c>
    </row>
    <row r="132" ht="42.0" customHeight="1">
      <c r="A132" s="22" t="s">
        <v>313</v>
      </c>
      <c r="B132" s="23" t="s">
        <v>314</v>
      </c>
      <c r="C132" s="22" t="s">
        <v>64</v>
      </c>
      <c r="D132" s="23" t="s">
        <v>360</v>
      </c>
      <c r="E132" s="24">
        <v>35.45</v>
      </c>
      <c r="F132" s="23" t="str">
        <f t="shared" si="1"/>
        <v>IVA incluido</v>
      </c>
      <c r="G132" s="24">
        <f t="shared" si="2"/>
        <v>29.3</v>
      </c>
      <c r="H132" s="31" t="str">
        <f>HYPERLINK("https://forsailors.es/product-page/cana-aluminio-negra-optimist-ex1122-aluminium-tiller-black/","Ficha oficial del producto")</f>
        <v>Ficha oficial del producto</v>
      </c>
      <c r="I132" s="23" t="s">
        <v>97</v>
      </c>
      <c r="J132" s="25">
        <v>46296.0</v>
      </c>
    </row>
    <row r="133" ht="42.0" customHeight="1">
      <c r="A133" s="1" t="s">
        <v>315</v>
      </c>
      <c r="B133" s="15" t="s">
        <v>316</v>
      </c>
      <c r="C133" s="1" t="s">
        <v>64</v>
      </c>
      <c r="D133" s="15" t="s">
        <v>360</v>
      </c>
      <c r="E133" s="20">
        <v>26.29</v>
      </c>
      <c r="F133" s="15" t="str">
        <f t="shared" si="1"/>
        <v>IVA incluido</v>
      </c>
      <c r="G133" s="20">
        <f t="shared" si="2"/>
        <v>21.73</v>
      </c>
      <c r="H133" s="30" t="str">
        <f>HYPERLINK("https://forsailors.es/product-page/cana-aluminio-plata/","Ficha oficial del producto")</f>
        <v>Ficha oficial del producto</v>
      </c>
      <c r="I133" s="15" t="s">
        <v>67</v>
      </c>
      <c r="J133" s="21">
        <v>46296.0</v>
      </c>
    </row>
    <row r="134" ht="42.0" customHeight="1">
      <c r="A134" s="22" t="s">
        <v>317</v>
      </c>
      <c r="B134" s="23" t="s">
        <v>318</v>
      </c>
      <c r="C134" s="22" t="s">
        <v>64</v>
      </c>
      <c r="D134" s="23" t="s">
        <v>360</v>
      </c>
      <c r="E134" s="24">
        <v>12.94</v>
      </c>
      <c r="F134" s="23" t="str">
        <f t="shared" si="1"/>
        <v>IVA incluido</v>
      </c>
      <c r="G134" s="24">
        <f t="shared" si="2"/>
        <v>10.69</v>
      </c>
      <c r="H134" s="31" t="str">
        <f>HYPERLINK("https://forsailors.es/product-page/elastico-sujeta-orzas-optimist-ex1113/","Ficha oficial del producto")</f>
        <v>Ficha oficial del producto</v>
      </c>
      <c r="I134" s="23" t="s">
        <v>369</v>
      </c>
      <c r="J134" s="25">
        <v>46296.0</v>
      </c>
    </row>
    <row r="135" ht="42.0" customHeight="1">
      <c r="A135" s="1" t="s">
        <v>319</v>
      </c>
      <c r="B135" s="15" t="s">
        <v>320</v>
      </c>
      <c r="C135" s="1" t="s">
        <v>64</v>
      </c>
      <c r="D135" s="15" t="s">
        <v>360</v>
      </c>
      <c r="E135" s="20">
        <v>14.18</v>
      </c>
      <c r="F135" s="15" t="str">
        <f t="shared" si="1"/>
        <v>IVA incluido</v>
      </c>
      <c r="G135" s="20">
        <f t="shared" si="2"/>
        <v>11.72</v>
      </c>
      <c r="H135" s="30" t="str">
        <f>HYPERLINK("https://forsailors.es/product-page/empunadura-eva-impuestos-inc/","Ficha oficial del producto")</f>
        <v>Ficha oficial del producto</v>
      </c>
      <c r="I135" s="15" t="s">
        <v>73</v>
      </c>
      <c r="J135" s="21">
        <v>46296.0</v>
      </c>
    </row>
    <row r="136" ht="42.0" customHeight="1">
      <c r="A136" s="22" t="s">
        <v>321</v>
      </c>
      <c r="B136" s="23" t="s">
        <v>322</v>
      </c>
      <c r="C136" s="22" t="s">
        <v>64</v>
      </c>
      <c r="D136" s="23" t="s">
        <v>360</v>
      </c>
      <c r="E136" s="24">
        <v>37.23</v>
      </c>
      <c r="F136" s="23" t="str">
        <f t="shared" si="1"/>
        <v>IVA incluido</v>
      </c>
      <c r="G136" s="24">
        <f t="shared" si="2"/>
        <v>30.77</v>
      </c>
      <c r="H136" s="31" t="str">
        <f>HYPERLINK("https://forsailors.es/product-page/extension-deluxe-16-mm-con-empunadura-negra/","Ficha oficial del producto")</f>
        <v>Ficha oficial del producto</v>
      </c>
      <c r="I136" s="23" t="s">
        <v>67</v>
      </c>
      <c r="J136" s="25">
        <v>46296.0</v>
      </c>
    </row>
    <row r="137" ht="42.0" customHeight="1">
      <c r="A137" s="1" t="s">
        <v>323</v>
      </c>
      <c r="B137" s="15" t="s">
        <v>324</v>
      </c>
      <c r="C137" s="1" t="s">
        <v>64</v>
      </c>
      <c r="D137" s="15" t="s">
        <v>360</v>
      </c>
      <c r="E137" s="20">
        <v>32.48</v>
      </c>
      <c r="F137" s="15" t="str">
        <f t="shared" si="1"/>
        <v>IVA incluido</v>
      </c>
      <c r="G137" s="20">
        <f t="shared" si="2"/>
        <v>26.84</v>
      </c>
      <c r="H137" s="30" t="str">
        <f>HYPERLINK("https://forsailors.es/product-page/extension-estandar-16-mm-con-empunadura-golf/","Ficha oficial del producto")</f>
        <v>Ficha oficial del producto</v>
      </c>
      <c r="I137" s="15" t="s">
        <v>67</v>
      </c>
      <c r="J137" s="21">
        <v>46296.0</v>
      </c>
    </row>
    <row r="138" ht="42.0" customHeight="1">
      <c r="A138" s="22" t="s">
        <v>325</v>
      </c>
      <c r="B138" s="23" t="s">
        <v>326</v>
      </c>
      <c r="C138" s="22" t="s">
        <v>64</v>
      </c>
      <c r="D138" s="23" t="s">
        <v>360</v>
      </c>
      <c r="E138" s="24">
        <v>219.0</v>
      </c>
      <c r="F138" s="23" t="str">
        <f t="shared" si="1"/>
        <v>IVA incluido</v>
      </c>
      <c r="G138" s="24">
        <f t="shared" si="2"/>
        <v>180.99</v>
      </c>
      <c r="H138" s="31" t="str">
        <f>HYPERLINK("https://forsailors.es/product-page/juego-de-palas-de-madera-con-herrajes/","Ficha oficial del producto")</f>
        <v>Ficha oficial del producto</v>
      </c>
      <c r="I138" s="23" t="s">
        <v>67</v>
      </c>
      <c r="J138" s="25">
        <v>46296.0</v>
      </c>
    </row>
    <row r="139" ht="42.0" customHeight="1">
      <c r="A139" s="1" t="s">
        <v>327</v>
      </c>
      <c r="B139" s="15" t="s">
        <v>328</v>
      </c>
      <c r="C139" s="1" t="s">
        <v>64</v>
      </c>
      <c r="D139" s="15" t="s">
        <v>360</v>
      </c>
      <c r="E139" s="20">
        <v>349.0</v>
      </c>
      <c r="F139" s="15" t="str">
        <f t="shared" si="1"/>
        <v>IVA incluido</v>
      </c>
      <c r="G139" s="20">
        <f t="shared" si="2"/>
        <v>288.43</v>
      </c>
      <c r="H139" s="30" t="str">
        <f>HYPERLINK("https://forsailors.es/product-page/juego-de-palas-grp-con-herrajes/","Ficha oficial del producto")</f>
        <v>Ficha oficial del producto</v>
      </c>
      <c r="I139" s="15" t="s">
        <v>67</v>
      </c>
      <c r="J139" s="21">
        <v>46296.0</v>
      </c>
    </row>
    <row r="140" ht="42.0" customHeight="1">
      <c r="A140" s="22" t="s">
        <v>329</v>
      </c>
      <c r="B140" s="23" t="s">
        <v>330</v>
      </c>
      <c r="C140" s="22" t="s">
        <v>64</v>
      </c>
      <c r="D140" s="23" t="s">
        <v>360</v>
      </c>
      <c r="E140" s="24">
        <v>327.75</v>
      </c>
      <c r="F140" s="23" t="str">
        <f t="shared" si="1"/>
        <v>IVA incluido</v>
      </c>
      <c r="G140" s="24">
        <f t="shared" si="2"/>
        <v>270.87</v>
      </c>
      <c r="H140" s="31" t="str">
        <f>HYPERLINK("https://forsailors.es/product-page/juego-palas-grp-sin-herrajes/","Ficha oficial del producto")</f>
        <v>Ficha oficial del producto</v>
      </c>
      <c r="I140" s="23" t="s">
        <v>67</v>
      </c>
      <c r="J140" s="25">
        <v>46296.0</v>
      </c>
    </row>
    <row r="141" ht="42.0" customHeight="1">
      <c r="A141" s="1" t="s">
        <v>331</v>
      </c>
      <c r="B141" s="15" t="s">
        <v>332</v>
      </c>
      <c r="C141" s="1" t="s">
        <v>64</v>
      </c>
      <c r="D141" s="15" t="s">
        <v>360</v>
      </c>
      <c r="E141" s="20">
        <v>200.61</v>
      </c>
      <c r="F141" s="15" t="str">
        <f t="shared" si="1"/>
        <v>IVA incluido</v>
      </c>
      <c r="G141" s="20">
        <f t="shared" si="2"/>
        <v>165.79</v>
      </c>
      <c r="H141" s="30" t="str">
        <f>HYPERLINK("https://forsailors.es/product-page/juego-palas-madera-sin-herrajes/","Ficha oficial del producto")</f>
        <v>Ficha oficial del producto</v>
      </c>
      <c r="I141" s="15" t="s">
        <v>67</v>
      </c>
      <c r="J141" s="21">
        <v>46296.0</v>
      </c>
    </row>
    <row r="142" ht="42.0" customHeight="1">
      <c r="A142" s="22" t="s">
        <v>333</v>
      </c>
      <c r="B142" s="23" t="s">
        <v>334</v>
      </c>
      <c r="C142" s="22" t="s">
        <v>64</v>
      </c>
      <c r="D142" s="23" t="s">
        <v>360</v>
      </c>
      <c r="E142" s="24">
        <v>253.5</v>
      </c>
      <c r="F142" s="23" t="str">
        <f t="shared" si="1"/>
        <v>IVA incluido</v>
      </c>
      <c r="G142" s="24">
        <f t="shared" si="2"/>
        <v>209.5</v>
      </c>
      <c r="H142" s="31" t="str">
        <f>HYPERLINK("https://forsailors.es/product-page/orza-optimist-epoxi-one-design-impuestos-inc/","Ficha oficial del producto")</f>
        <v>Ficha oficial del producto</v>
      </c>
      <c r="I142" s="23" t="s">
        <v>97</v>
      </c>
      <c r="J142" s="25">
        <v>46296.0</v>
      </c>
    </row>
    <row r="143" ht="42.0" customHeight="1">
      <c r="A143" s="1" t="s">
        <v>335</v>
      </c>
      <c r="B143" s="15" t="s">
        <v>336</v>
      </c>
      <c r="C143" s="1" t="s">
        <v>64</v>
      </c>
      <c r="D143" s="15" t="s">
        <v>360</v>
      </c>
      <c r="E143" s="20">
        <v>202.5</v>
      </c>
      <c r="F143" s="15" t="str">
        <f t="shared" si="1"/>
        <v>IVA incluido</v>
      </c>
      <c r="G143" s="20">
        <f t="shared" si="2"/>
        <v>167.36</v>
      </c>
      <c r="H143" s="30" t="str">
        <f>HYPERLINK("https://forsailors.es/product-page/orza-optimist-grp-impuestos-inc/","Ficha oficial del producto")</f>
        <v>Ficha oficial del producto</v>
      </c>
      <c r="I143" s="15" t="s">
        <v>97</v>
      </c>
      <c r="J143" s="21">
        <v>46296.0</v>
      </c>
    </row>
    <row r="144" ht="42.0" customHeight="1">
      <c r="A144" s="22" t="s">
        <v>337</v>
      </c>
      <c r="B144" s="23" t="s">
        <v>338</v>
      </c>
      <c r="C144" s="22" t="s">
        <v>64</v>
      </c>
      <c r="D144" s="23" t="s">
        <v>360</v>
      </c>
      <c r="E144" s="24">
        <v>123.5</v>
      </c>
      <c r="F144" s="23" t="str">
        <f t="shared" si="1"/>
        <v>IVA incluido</v>
      </c>
      <c r="G144" s="24">
        <f t="shared" si="2"/>
        <v>102.07</v>
      </c>
      <c r="H144" s="31" t="str">
        <f>HYPERLINK("https://forsailors.es/product-page/orza-optimist-madera-impuestos-inc/","Ficha oficial del producto")</f>
        <v>Ficha oficial del producto</v>
      </c>
      <c r="I144" s="23" t="s">
        <v>67</v>
      </c>
      <c r="J144" s="25">
        <v>46296.0</v>
      </c>
    </row>
    <row r="145" ht="42.0" customHeight="1">
      <c r="A145" s="1" t="s">
        <v>339</v>
      </c>
      <c r="B145" s="15" t="s">
        <v>340</v>
      </c>
      <c r="C145" s="1" t="s">
        <v>64</v>
      </c>
      <c r="D145" s="15" t="s">
        <v>360</v>
      </c>
      <c r="E145" s="20">
        <v>205.0</v>
      </c>
      <c r="F145" s="15" t="str">
        <f t="shared" si="1"/>
        <v>IVA incluido</v>
      </c>
      <c r="G145" s="20">
        <f t="shared" si="2"/>
        <v>169.42</v>
      </c>
      <c r="H145" s="30" t="str">
        <f>HYPERLINK("https://forsailors.es/product-page/timon-optimist-completo-impuestos-inc/","Ficha oficial del producto")</f>
        <v>Ficha oficial del producto</v>
      </c>
      <c r="I145" s="15" t="s">
        <v>97</v>
      </c>
      <c r="J145" s="21">
        <v>46296.0</v>
      </c>
    </row>
    <row r="146" ht="42.0" customHeight="1">
      <c r="A146" s="22" t="s">
        <v>341</v>
      </c>
      <c r="B146" s="23" t="s">
        <v>342</v>
      </c>
      <c r="C146" s="22" t="s">
        <v>64</v>
      </c>
      <c r="D146" s="23" t="s">
        <v>360</v>
      </c>
      <c r="E146" s="24">
        <v>184.0</v>
      </c>
      <c r="F146" s="23" t="str">
        <f t="shared" si="1"/>
        <v>IVA incluido</v>
      </c>
      <c r="G146" s="24">
        <f t="shared" si="2"/>
        <v>152.07</v>
      </c>
      <c r="H146" s="31" t="str">
        <f>HYPERLINK("https://forsailors.es/product-page/pala-timon-optimist-ex11050/","Ficha oficial del producto")</f>
        <v>Ficha oficial del producto</v>
      </c>
      <c r="I146" s="23" t="s">
        <v>82</v>
      </c>
      <c r="J146" s="25">
        <v>46296.0</v>
      </c>
    </row>
    <row r="147" ht="42.0" customHeight="1">
      <c r="A147" s="1" t="s">
        <v>343</v>
      </c>
      <c r="B147" s="15" t="s">
        <v>344</v>
      </c>
      <c r="C147" s="1" t="s">
        <v>64</v>
      </c>
      <c r="D147" s="15" t="s">
        <v>360</v>
      </c>
      <c r="E147" s="20">
        <v>104.0</v>
      </c>
      <c r="F147" s="15" t="str">
        <f t="shared" si="1"/>
        <v>IVA incluido</v>
      </c>
      <c r="G147" s="20">
        <f t="shared" si="2"/>
        <v>85.95</v>
      </c>
      <c r="H147" s="30" t="str">
        <f>HYPERLINK("https://forsailors.es/product-page/pala-timon-optimist-madera-ex11053-con-herrajes-optiparts/","Ficha oficial del producto")</f>
        <v>Ficha oficial del producto</v>
      </c>
      <c r="I147" s="15" t="s">
        <v>67</v>
      </c>
      <c r="J147" s="21">
        <v>46296.0</v>
      </c>
    </row>
    <row r="148" ht="42.0" customHeight="1">
      <c r="A148" s="22" t="s">
        <v>345</v>
      </c>
      <c r="B148" s="23" t="s">
        <v>346</v>
      </c>
      <c r="C148" s="22" t="s">
        <v>64</v>
      </c>
      <c r="D148" s="23" t="s">
        <v>360</v>
      </c>
      <c r="E148" s="24">
        <v>38.0</v>
      </c>
      <c r="F148" s="23" t="str">
        <f t="shared" si="1"/>
        <v>IVA incluido</v>
      </c>
      <c r="G148" s="24">
        <f t="shared" si="2"/>
        <v>31.4</v>
      </c>
      <c r="H148" s="31" t="str">
        <f>HYPERLINK("https://forsailors.es/product-page/stick-optimist-16-mm-deluxe/","Ficha oficial del producto")</f>
        <v>Ficha oficial del producto</v>
      </c>
      <c r="I148" s="23" t="s">
        <v>67</v>
      </c>
      <c r="J148" s="25">
        <v>46296.0</v>
      </c>
    </row>
    <row r="149" ht="42.0" customHeight="1">
      <c r="A149" s="1" t="s">
        <v>347</v>
      </c>
      <c r="B149" s="15" t="s">
        <v>348</v>
      </c>
      <c r="C149" s="1" t="s">
        <v>64</v>
      </c>
      <c r="D149" s="15" t="s">
        <v>360</v>
      </c>
      <c r="E149" s="20">
        <v>39.45</v>
      </c>
      <c r="F149" s="15" t="str">
        <f t="shared" si="1"/>
        <v>IVA incluido</v>
      </c>
      <c r="G149" s="20">
        <f t="shared" si="2"/>
        <v>32.6</v>
      </c>
      <c r="H149" s="30" t="str">
        <f>HYPERLINK("https://forsailors.es/product-page/stick-optimist-16-mm-deluxe-super-smooth/","Ficha oficial del producto")</f>
        <v>Ficha oficial del producto</v>
      </c>
      <c r="I149" s="15" t="s">
        <v>73</v>
      </c>
      <c r="J149" s="21">
        <v>46296.0</v>
      </c>
    </row>
    <row r="150" ht="42.0" customHeight="1">
      <c r="A150" s="22" t="s">
        <v>349</v>
      </c>
      <c r="B150" s="23" t="s">
        <v>350</v>
      </c>
      <c r="C150" s="22" t="s">
        <v>64</v>
      </c>
      <c r="D150" s="23" t="s">
        <v>360</v>
      </c>
      <c r="E150" s="24">
        <v>152.65</v>
      </c>
      <c r="F150" s="23" t="str">
        <f t="shared" si="1"/>
        <v>IVA incluido</v>
      </c>
      <c r="G150" s="24">
        <f t="shared" si="2"/>
        <v>126.16</v>
      </c>
      <c r="H150" s="31" t="str">
        <f>HYPERLINK("https://forsailors.es/product-page/timon-grp-sin-herrajes/","Ficha oficial del producto")</f>
        <v>Ficha oficial del producto</v>
      </c>
      <c r="I150" s="23" t="s">
        <v>67</v>
      </c>
      <c r="J150" s="25">
        <v>46296.0</v>
      </c>
    </row>
    <row r="151" ht="42.0" customHeight="1">
      <c r="A151" s="1" t="s">
        <v>351</v>
      </c>
      <c r="B151" s="15" t="s">
        <v>352</v>
      </c>
      <c r="C151" s="1" t="s">
        <v>64</v>
      </c>
      <c r="D151" s="15" t="s">
        <v>360</v>
      </c>
      <c r="E151" s="20">
        <v>92.09</v>
      </c>
      <c r="F151" s="15" t="str">
        <f t="shared" si="1"/>
        <v>IVA incluido</v>
      </c>
      <c r="G151" s="20">
        <f t="shared" si="2"/>
        <v>76.11</v>
      </c>
      <c r="H151" s="30" t="str">
        <f>HYPERLINK("https://forsailors.es/product-page/timon-madera-sin-herrajes/","Ficha oficial del producto")</f>
        <v>Ficha oficial del producto</v>
      </c>
      <c r="I151" s="15" t="s">
        <v>67</v>
      </c>
      <c r="J151" s="21">
        <v>46296.0</v>
      </c>
    </row>
    <row r="152" ht="42.0" customHeight="1">
      <c r="A152" s="22" t="s">
        <v>354</v>
      </c>
      <c r="B152" s="23" t="s">
        <v>355</v>
      </c>
      <c r="C152" s="22" t="s">
        <v>64</v>
      </c>
      <c r="D152" s="23" t="s">
        <v>400</v>
      </c>
      <c r="E152" s="24">
        <v>264.87</v>
      </c>
      <c r="F152" s="23" t="str">
        <f t="shared" si="1"/>
        <v>IVA incluido</v>
      </c>
      <c r="G152" s="24">
        <f t="shared" si="2"/>
        <v>218.9</v>
      </c>
      <c r="H152" s="31" t="str">
        <f>HYPERLINK("https://forsailors.es/product-page/juego-de-palos-optimist-de-escuela/","Ficha oficial del producto")</f>
        <v>Ficha oficial del producto</v>
      </c>
      <c r="I152" s="23" t="s">
        <v>67</v>
      </c>
      <c r="J152" s="25">
        <v>46296.0</v>
      </c>
    </row>
    <row r="153" ht="42.0" customHeight="1">
      <c r="A153" s="1" t="s">
        <v>356</v>
      </c>
      <c r="B153" s="15" t="s">
        <v>357</v>
      </c>
      <c r="C153" s="1" t="s">
        <v>64</v>
      </c>
      <c r="D153" s="15" t="s">
        <v>400</v>
      </c>
      <c r="E153" s="20">
        <v>255.87</v>
      </c>
      <c r="F153" s="15" t="str">
        <f t="shared" si="1"/>
        <v>IVA incluido</v>
      </c>
      <c r="G153" s="20">
        <f t="shared" si="2"/>
        <v>211.46</v>
      </c>
      <c r="H153" s="30" t="str">
        <f>HYPERLINK("https://forsailors.es/product-page/juego-de-palos-optimist-para-vela-envergada/","Ficha oficial del producto")</f>
        <v>Ficha oficial del producto</v>
      </c>
      <c r="I153" s="15" t="s">
        <v>67</v>
      </c>
      <c r="J153" s="21">
        <v>46296.0</v>
      </c>
    </row>
    <row r="154" ht="42.0" customHeight="1">
      <c r="A154" s="22" t="s">
        <v>358</v>
      </c>
      <c r="B154" s="23" t="s">
        <v>359</v>
      </c>
      <c r="C154" s="22" t="s">
        <v>64</v>
      </c>
      <c r="D154" s="23" t="s">
        <v>400</v>
      </c>
      <c r="E154" s="24">
        <v>282.36</v>
      </c>
      <c r="F154" s="23" t="str">
        <f t="shared" si="1"/>
        <v>IVA incluido</v>
      </c>
      <c r="G154" s="24">
        <f t="shared" si="2"/>
        <v>233.36</v>
      </c>
      <c r="H154" s="31" t="str">
        <f>HYPERLINK("https://forsailors.es/product-page/juego-de-vela-optimist-reducida/","Ficha oficial del producto")</f>
        <v>Ficha oficial del producto</v>
      </c>
      <c r="I154" s="23" t="s">
        <v>67</v>
      </c>
      <c r="J154" s="25">
        <v>46296.0</v>
      </c>
    </row>
    <row r="155" ht="42.0" customHeight="1">
      <c r="A155" s="1" t="s">
        <v>361</v>
      </c>
      <c r="B155" s="15" t="s">
        <v>362</v>
      </c>
      <c r="C155" s="1" t="s">
        <v>64</v>
      </c>
      <c r="D155" s="15" t="s">
        <v>400</v>
      </c>
      <c r="E155" s="20">
        <v>266.87</v>
      </c>
      <c r="F155" s="15" t="str">
        <f t="shared" si="1"/>
        <v>IVA incluido</v>
      </c>
      <c r="G155" s="20">
        <f t="shared" si="2"/>
        <v>220.55</v>
      </c>
      <c r="H155" s="30" t="str">
        <f>HYPERLINK("https://forsailors.es/product-page/juego-fijo-de-palos-optimist-para-vela-envergada/","Ficha oficial del producto")</f>
        <v>Ficha oficial del producto</v>
      </c>
      <c r="I155" s="15" t="s">
        <v>67</v>
      </c>
      <c r="J155" s="21">
        <v>46296.0</v>
      </c>
    </row>
    <row r="156" ht="42.0" customHeight="1">
      <c r="A156" s="22" t="s">
        <v>363</v>
      </c>
      <c r="B156" s="23" t="s">
        <v>364</v>
      </c>
      <c r="C156" s="22" t="s">
        <v>64</v>
      </c>
      <c r="D156" s="23" t="s">
        <v>400</v>
      </c>
      <c r="E156" s="24">
        <v>153.25</v>
      </c>
      <c r="F156" s="23" t="str">
        <f t="shared" si="1"/>
        <v>IVA incluido</v>
      </c>
      <c r="G156" s="24">
        <f t="shared" si="2"/>
        <v>126.65</v>
      </c>
      <c r="H156" s="31" t="str">
        <f>HYPERLINK("https://forsailors.es/product-page/mastil-optimist-escuela-ex1010-palos-optimist-optiparts/","Ficha oficial del producto")</f>
        <v>Ficha oficial del producto</v>
      </c>
      <c r="I156" s="23" t="s">
        <v>67</v>
      </c>
      <c r="J156" s="25">
        <v>46296.0</v>
      </c>
    </row>
    <row r="157" ht="42.0" customHeight="1">
      <c r="A157" s="1" t="s">
        <v>365</v>
      </c>
      <c r="B157" s="15" t="s">
        <v>366</v>
      </c>
      <c r="C157" s="1" t="s">
        <v>64</v>
      </c>
      <c r="D157" s="15" t="s">
        <v>400</v>
      </c>
      <c r="E157" s="20">
        <v>251.0</v>
      </c>
      <c r="F157" s="15" t="str">
        <f t="shared" si="1"/>
        <v>IVA incluido</v>
      </c>
      <c r="G157" s="20">
        <f t="shared" si="2"/>
        <v>207.44</v>
      </c>
      <c r="H157" s="30" t="str">
        <f>HYPERLINK("https://forsailors.es/product-page/ex1061-vela-optimist-envergada-optiparts-para-escuelas-de-vela/","Ficha oficial del producto")</f>
        <v>Ficha oficial del producto</v>
      </c>
      <c r="I157" s="15" t="s">
        <v>67</v>
      </c>
      <c r="J157" s="21">
        <v>46296.0</v>
      </c>
    </row>
    <row r="158" ht="42.0" customHeight="1">
      <c r="A158" s="22" t="s">
        <v>367</v>
      </c>
      <c r="B158" s="23" t="s">
        <v>368</v>
      </c>
      <c r="C158" s="22" t="s">
        <v>64</v>
      </c>
      <c r="D158" s="23" t="s">
        <v>400</v>
      </c>
      <c r="E158" s="24">
        <v>255.37</v>
      </c>
      <c r="F158" s="23" t="str">
        <f t="shared" si="1"/>
        <v>IVA incluido</v>
      </c>
      <c r="G158" s="24">
        <f t="shared" si="2"/>
        <v>211.05</v>
      </c>
      <c r="H158" s="31" t="str">
        <f>HYPERLINK("https://forsailors.es/product-page/vela-optimist-de-escuela/","Ficha oficial del producto")</f>
        <v>Ficha oficial del producto</v>
      </c>
      <c r="I158" s="23" t="s">
        <v>67</v>
      </c>
      <c r="J158" s="25">
        <v>46296.0</v>
      </c>
    </row>
    <row r="159" ht="42.0" customHeight="1">
      <c r="A159" s="1" t="s">
        <v>370</v>
      </c>
      <c r="B159" s="15" t="s">
        <v>371</v>
      </c>
      <c r="C159" s="1" t="s">
        <v>64</v>
      </c>
      <c r="D159" s="15" t="s">
        <v>400</v>
      </c>
      <c r="E159" s="20">
        <v>209.4</v>
      </c>
      <c r="F159" s="15" t="str">
        <f t="shared" si="1"/>
        <v>IVA incluido</v>
      </c>
      <c r="G159" s="20">
        <f t="shared" si="2"/>
        <v>173.06</v>
      </c>
      <c r="H159" s="30" t="str">
        <f>HYPERLINK("https://forsailors.es/product-page/vela-optimist-envergada-blanca/","Ficha oficial del producto")</f>
        <v>Ficha oficial del producto</v>
      </c>
      <c r="I159" s="15" t="s">
        <v>67</v>
      </c>
      <c r="J159" s="21">
        <v>46296.0</v>
      </c>
    </row>
    <row r="160" ht="42.0" customHeight="1">
      <c r="A160" s="22" t="s">
        <v>372</v>
      </c>
      <c r="B160" s="23" t="s">
        <v>373</v>
      </c>
      <c r="C160" s="22" t="s">
        <v>64</v>
      </c>
      <c r="D160" s="23" t="s">
        <v>400</v>
      </c>
      <c r="E160" s="24">
        <v>224.39</v>
      </c>
      <c r="F160" s="23" t="str">
        <f t="shared" si="1"/>
        <v>IVA incluido</v>
      </c>
      <c r="G160" s="24">
        <f t="shared" si="2"/>
        <v>185.45</v>
      </c>
      <c r="H160" s="31" t="str">
        <f>HYPERLINK("https://forsailors.es/product-page/vela-optimist-envergada-blanca-con-rizo/","Ficha oficial del producto")</f>
        <v>Ficha oficial del producto</v>
      </c>
      <c r="I160" s="23" t="s">
        <v>67</v>
      </c>
      <c r="J160" s="25">
        <v>46296.0</v>
      </c>
    </row>
    <row r="161" ht="54.0" customHeight="1">
      <c r="A161" s="1" t="s">
        <v>375</v>
      </c>
      <c r="B161" s="15" t="s">
        <v>376</v>
      </c>
      <c r="C161" s="1" t="s">
        <v>419</v>
      </c>
      <c r="D161" s="15" t="s">
        <v>420</v>
      </c>
      <c r="E161" s="20">
        <v>46.14</v>
      </c>
      <c r="F161" s="15" t="str">
        <f t="shared" si="1"/>
        <v>IVA incluido</v>
      </c>
      <c r="G161" s="20">
        <f t="shared" si="2"/>
        <v>38.13</v>
      </c>
      <c r="H161" s="30" t="str">
        <f>HYPERLINK("https://forsailors.es/product-page/bomba-de-achique-johnson-spx-av500-y-av800-12-v/?attribute_variante=AV500%3B+12+V%3B+38+l%2Fmin%3B+34+l%2Fmin+a+1+m%3B+2%2C5+A%3B+salida+3%2F4+pulgada","Ficha oficial del producto")</f>
        <v>Ficha oficial del producto</v>
      </c>
      <c r="I161" s="15" t="s">
        <v>423</v>
      </c>
      <c r="J161" s="21">
        <v>46296.0</v>
      </c>
    </row>
    <row r="162" ht="54.0" customHeight="1">
      <c r="A162" s="22" t="s">
        <v>377</v>
      </c>
      <c r="B162" s="23" t="s">
        <v>378</v>
      </c>
      <c r="C162" s="22" t="s">
        <v>419</v>
      </c>
      <c r="D162" s="23" t="s">
        <v>420</v>
      </c>
      <c r="E162" s="24">
        <v>63.36</v>
      </c>
      <c r="F162" s="23" t="str">
        <f t="shared" si="1"/>
        <v>IVA incluido</v>
      </c>
      <c r="G162" s="24">
        <f t="shared" si="2"/>
        <v>52.36</v>
      </c>
      <c r="H162" s="31" t="str">
        <f>HYPERLINK("https://forsailors.es/product-page/bomba-de-achique-johnson-spx-av500-y-av800-12-v/?attribute_variante=AV800%3B+12+V%3B+50+l%2Fmin%3B+48+l%2Fmin+a+1+m%3B+3%2C7+A%3B+salida+3%2F4+pulgada","Ficha oficial del producto")</f>
        <v>Ficha oficial del producto</v>
      </c>
      <c r="I162" s="23" t="s">
        <v>423</v>
      </c>
      <c r="J162" s="25">
        <v>46296.0</v>
      </c>
    </row>
    <row r="163" ht="42.0" customHeight="1">
      <c r="A163" s="1" t="s">
        <v>379</v>
      </c>
      <c r="B163" s="15" t="s">
        <v>380</v>
      </c>
      <c r="C163" s="1" t="s">
        <v>419</v>
      </c>
      <c r="D163" s="15" t="s">
        <v>420</v>
      </c>
      <c r="E163" s="20">
        <v>44.48</v>
      </c>
      <c r="F163" s="15" t="str">
        <f t="shared" si="1"/>
        <v>IVA incluido</v>
      </c>
      <c r="G163" s="20">
        <f t="shared" si="2"/>
        <v>36.76</v>
      </c>
      <c r="H163" s="30" t="str">
        <f>HYPERLINK("https://forsailors.es/product-page/bomba-de-presion-imnasa-12-v-y-36-l-min/","Ficha oficial del producto")</f>
        <v>Ficha oficial del producto</v>
      </c>
      <c r="I163" s="15" t="s">
        <v>423</v>
      </c>
      <c r="J163" s="21">
        <v>46296.0</v>
      </c>
    </row>
    <row r="164" ht="42.0" customHeight="1">
      <c r="A164" s="22" t="s">
        <v>381</v>
      </c>
      <c r="B164" s="23" t="s">
        <v>382</v>
      </c>
      <c r="C164" s="22" t="s">
        <v>419</v>
      </c>
      <c r="D164" s="23" t="s">
        <v>420</v>
      </c>
      <c r="E164" s="24">
        <v>20.24</v>
      </c>
      <c r="F164" s="23" t="str">
        <f t="shared" si="1"/>
        <v>IVA incluido</v>
      </c>
      <c r="G164" s="24">
        <f t="shared" si="2"/>
        <v>16.73</v>
      </c>
      <c r="H164" s="31" t="str">
        <f>HYPERLINK("https://forsailors.es/product-page/interruptor-automatico-de-achique-imnasa-12-24-v-y-20-a/","Ficha oficial del producto")</f>
        <v>Ficha oficial del producto</v>
      </c>
      <c r="I164" s="23" t="s">
        <v>423</v>
      </c>
      <c r="J164" s="25">
        <v>46296.0</v>
      </c>
    </row>
    <row r="165" ht="42.0" customHeight="1">
      <c r="A165" s="1" t="s">
        <v>383</v>
      </c>
      <c r="B165" s="15" t="s">
        <v>384</v>
      </c>
      <c r="C165" s="1" t="s">
        <v>419</v>
      </c>
      <c r="D165" s="15" t="s">
        <v>420</v>
      </c>
      <c r="E165" s="20">
        <v>59.5</v>
      </c>
      <c r="F165" s="15" t="str">
        <f t="shared" si="1"/>
        <v>IVA incluido</v>
      </c>
      <c r="G165" s="20">
        <f t="shared" si="2"/>
        <v>49.17</v>
      </c>
      <c r="H165" s="30" t="str">
        <f>HYPERLINK("https://forsailors.es/product-page/manguera-pvc-para-agua-potable-10-x-15-mm-rollo-25-m/","Ficha oficial del producto")</f>
        <v>Ficha oficial del producto</v>
      </c>
      <c r="I165" s="15" t="s">
        <v>423</v>
      </c>
      <c r="J165" s="21">
        <v>46296.0</v>
      </c>
    </row>
    <row r="166" ht="42.0" customHeight="1">
      <c r="A166" s="22" t="s">
        <v>386</v>
      </c>
      <c r="B166" s="23" t="s">
        <v>387</v>
      </c>
      <c r="C166" s="22" t="s">
        <v>419</v>
      </c>
      <c r="D166" s="23" t="s">
        <v>432</v>
      </c>
      <c r="E166" s="24">
        <v>18.72</v>
      </c>
      <c r="F166" s="23" t="str">
        <f t="shared" si="1"/>
        <v>IVA incluido</v>
      </c>
      <c r="G166" s="24">
        <f t="shared" si="2"/>
        <v>15.47</v>
      </c>
      <c r="H166" s="31" t="str">
        <f>HYPERLINK("https://forsailors.es/product-page/cornamusa-marine-town-inoxidable-316-102-mm/","Ficha oficial del producto")</f>
        <v>Ficha oficial del producto</v>
      </c>
      <c r="I166" s="23" t="s">
        <v>423</v>
      </c>
      <c r="J166" s="25">
        <v>46296.0</v>
      </c>
    </row>
    <row r="167" ht="42.0" customHeight="1">
      <c r="A167" s="1" t="s">
        <v>388</v>
      </c>
      <c r="B167" s="15" t="s">
        <v>389</v>
      </c>
      <c r="C167" s="1" t="s">
        <v>419</v>
      </c>
      <c r="D167" s="15" t="s">
        <v>432</v>
      </c>
      <c r="E167" s="20">
        <v>9.28</v>
      </c>
      <c r="F167" s="15" t="str">
        <f t="shared" si="1"/>
        <v>IVA incluido</v>
      </c>
      <c r="G167" s="20">
        <f t="shared" si="2"/>
        <v>7.67</v>
      </c>
      <c r="H167" s="30" t="str">
        <f>HYPERLINK("https://forsailors.es/product-page/grillete-lira-inoxidable-con-eje-cautivo-6-mm/","Ficha oficial del producto")</f>
        <v>Ficha oficial del producto</v>
      </c>
      <c r="I167" s="15" t="s">
        <v>423</v>
      </c>
      <c r="J167" s="21">
        <v>46296.0</v>
      </c>
    </row>
    <row r="168" ht="42.0" customHeight="1">
      <c r="A168" s="22" t="s">
        <v>390</v>
      </c>
      <c r="B168" s="23" t="s">
        <v>391</v>
      </c>
      <c r="C168" s="22" t="s">
        <v>419</v>
      </c>
      <c r="D168" s="23" t="s">
        <v>432</v>
      </c>
      <c r="E168" s="24">
        <v>1.59</v>
      </c>
      <c r="F168" s="23" t="str">
        <f t="shared" si="1"/>
        <v>IVA incluido</v>
      </c>
      <c r="G168" s="24">
        <f t="shared" si="2"/>
        <v>1.31</v>
      </c>
      <c r="H168" s="31" t="str">
        <f>HYPERLINK("https://forsailors.es/product-page/grillete-lira-inoxidable-imnasa-6-y-8-mm/?attribute_variante=Lira%3B+6+mm","Ficha oficial del producto")</f>
        <v>Ficha oficial del producto</v>
      </c>
      <c r="I168" s="23" t="s">
        <v>423</v>
      </c>
      <c r="J168" s="25">
        <v>46296.0</v>
      </c>
    </row>
    <row r="169" ht="42.0" customHeight="1">
      <c r="A169" s="1" t="s">
        <v>392</v>
      </c>
      <c r="B169" s="15" t="s">
        <v>393</v>
      </c>
      <c r="C169" s="1" t="s">
        <v>419</v>
      </c>
      <c r="D169" s="15" t="s">
        <v>432</v>
      </c>
      <c r="E169" s="20">
        <v>2.47</v>
      </c>
      <c r="F169" s="15" t="str">
        <f t="shared" si="1"/>
        <v>IVA incluido</v>
      </c>
      <c r="G169" s="20">
        <f t="shared" si="2"/>
        <v>2.04</v>
      </c>
      <c r="H169" s="30" t="str">
        <f>HYPERLINK("https://forsailors.es/product-page/grillete-lira-inoxidable-imnasa-6-y-8-mm/?attribute_variante=Lira%3B+8+mm","Ficha oficial del producto")</f>
        <v>Ficha oficial del producto</v>
      </c>
      <c r="I169" s="15" t="s">
        <v>423</v>
      </c>
      <c r="J169" s="21">
        <v>46296.0</v>
      </c>
    </row>
    <row r="170" ht="42.0" customHeight="1">
      <c r="A170" s="22" t="s">
        <v>394</v>
      </c>
      <c r="B170" s="23" t="s">
        <v>395</v>
      </c>
      <c r="C170" s="22" t="s">
        <v>419</v>
      </c>
      <c r="D170" s="23" t="s">
        <v>432</v>
      </c>
      <c r="E170" s="24">
        <v>1.55</v>
      </c>
      <c r="F170" s="23" t="str">
        <f t="shared" si="1"/>
        <v>IVA incluido</v>
      </c>
      <c r="G170" s="24">
        <f t="shared" si="2"/>
        <v>1.28</v>
      </c>
      <c r="H170" s="31" t="str">
        <f>HYPERLINK("https://forsailors.es/product-page/grillete-recto-inoxidable-imnasa-6-y-8-mm/?attribute_variante=Recto%3B+6+mm","Ficha oficial del producto")</f>
        <v>Ficha oficial del producto</v>
      </c>
      <c r="I170" s="23" t="s">
        <v>423</v>
      </c>
      <c r="J170" s="25">
        <v>46296.0</v>
      </c>
    </row>
    <row r="171" ht="42.0" customHeight="1">
      <c r="A171" s="1" t="s">
        <v>396</v>
      </c>
      <c r="B171" s="15" t="s">
        <v>397</v>
      </c>
      <c r="C171" s="1" t="s">
        <v>419</v>
      </c>
      <c r="D171" s="15" t="s">
        <v>432</v>
      </c>
      <c r="E171" s="20">
        <v>2.4</v>
      </c>
      <c r="F171" s="15" t="str">
        <f t="shared" si="1"/>
        <v>IVA incluido</v>
      </c>
      <c r="G171" s="20">
        <f t="shared" si="2"/>
        <v>1.98</v>
      </c>
      <c r="H171" s="30" t="str">
        <f>HYPERLINK("https://forsailors.es/product-page/grillete-recto-inoxidable-imnasa-6-y-8-mm/?attribute_variante=Recto%3B+8+mm","Ficha oficial del producto")</f>
        <v>Ficha oficial del producto</v>
      </c>
      <c r="I171" s="15" t="s">
        <v>423</v>
      </c>
      <c r="J171" s="21">
        <v>46296.0</v>
      </c>
    </row>
    <row r="172" ht="42.0" customHeight="1">
      <c r="A172" s="22" t="s">
        <v>398</v>
      </c>
      <c r="B172" s="23" t="s">
        <v>399</v>
      </c>
      <c r="C172" s="22" t="s">
        <v>419</v>
      </c>
      <c r="D172" s="23" t="s">
        <v>432</v>
      </c>
      <c r="E172" s="24">
        <v>10.48</v>
      </c>
      <c r="F172" s="23" t="str">
        <f t="shared" si="1"/>
        <v>IVA incluido</v>
      </c>
      <c r="G172" s="24">
        <f t="shared" si="2"/>
        <v>8.66</v>
      </c>
      <c r="H172" s="31" t="str">
        <f>HYPERLINK("https://forsailors.es/product-page/mosqueton-kong-inoxidable-con-ojo-60-mm/","Ficha oficial del producto")</f>
        <v>Ficha oficial del producto</v>
      </c>
      <c r="I172" s="23" t="s">
        <v>423</v>
      </c>
      <c r="J172" s="25">
        <v>46296.0</v>
      </c>
    </row>
    <row r="173" ht="42.0" customHeight="1">
      <c r="A173" s="1" t="s">
        <v>401</v>
      </c>
      <c r="B173" s="15" t="s">
        <v>402</v>
      </c>
      <c r="C173" s="1" t="s">
        <v>419</v>
      </c>
      <c r="D173" s="15" t="s">
        <v>432</v>
      </c>
      <c r="E173" s="20">
        <v>8.75</v>
      </c>
      <c r="F173" s="15" t="str">
        <f t="shared" si="1"/>
        <v>IVA incluido</v>
      </c>
      <c r="G173" s="20">
        <f t="shared" si="2"/>
        <v>7.23</v>
      </c>
      <c r="H173" s="30" t="str">
        <f>HYPERLINK("https://forsailors.es/product-page/mosqueton-kong-inoxidable-sin-ojo-60-y-80-mm/?attribute_variante=Sin+ojo%3B+60+mm%3B+varilla+6+mm","Ficha oficial del producto")</f>
        <v>Ficha oficial del producto</v>
      </c>
      <c r="I173" s="15" t="s">
        <v>423</v>
      </c>
      <c r="J173" s="21">
        <v>46296.0</v>
      </c>
    </row>
    <row r="174" ht="42.0" customHeight="1">
      <c r="A174" s="22" t="s">
        <v>403</v>
      </c>
      <c r="B174" s="23" t="s">
        <v>404</v>
      </c>
      <c r="C174" s="22" t="s">
        <v>419</v>
      </c>
      <c r="D174" s="23" t="s">
        <v>432</v>
      </c>
      <c r="E174" s="24">
        <v>12.41</v>
      </c>
      <c r="F174" s="23" t="str">
        <f t="shared" si="1"/>
        <v>IVA incluido</v>
      </c>
      <c r="G174" s="24">
        <f t="shared" si="2"/>
        <v>10.26</v>
      </c>
      <c r="H174" s="31" t="str">
        <f>HYPERLINK("https://forsailors.es/product-page/mosqueton-kong-inoxidable-sin-ojo-60-y-80-mm/?attribute_variante=Sin+ojo%3B+80+mm%3B+varilla+8+mm","Ficha oficial del producto")</f>
        <v>Ficha oficial del producto</v>
      </c>
      <c r="I174" s="23" t="s">
        <v>423</v>
      </c>
      <c r="J174" s="25">
        <v>46296.0</v>
      </c>
    </row>
    <row r="175" ht="42.0" customHeight="1">
      <c r="A175" s="1" t="s">
        <v>405</v>
      </c>
      <c r="B175" s="15" t="s">
        <v>406</v>
      </c>
      <c r="C175" s="1" t="s">
        <v>419</v>
      </c>
      <c r="D175" s="15" t="s">
        <v>432</v>
      </c>
      <c r="E175" s="20">
        <v>5.61</v>
      </c>
      <c r="F175" s="15" t="str">
        <f t="shared" si="1"/>
        <v>IVA incluido</v>
      </c>
      <c r="G175" s="20">
        <f t="shared" si="2"/>
        <v>4.64</v>
      </c>
      <c r="H175" s="30" t="str">
        <f>HYPERLINK("https://forsailors.es/product-page/platina-con-anilla-inoxidable-imnasa-45-mm/","Ficha oficial del producto")</f>
        <v>Ficha oficial del producto</v>
      </c>
      <c r="I175" s="15" t="s">
        <v>423</v>
      </c>
      <c r="J175" s="21">
        <v>46296.0</v>
      </c>
    </row>
    <row r="176" ht="42.0" customHeight="1">
      <c r="A176" s="22" t="s">
        <v>408</v>
      </c>
      <c r="B176" s="23" t="s">
        <v>409</v>
      </c>
      <c r="C176" s="22" t="s">
        <v>419</v>
      </c>
      <c r="D176" s="23" t="s">
        <v>454</v>
      </c>
      <c r="E176" s="24">
        <v>84.66</v>
      </c>
      <c r="F176" s="23" t="str">
        <f t="shared" si="1"/>
        <v>IVA incluido</v>
      </c>
      <c r="G176" s="24">
        <f t="shared" si="2"/>
        <v>69.97</v>
      </c>
      <c r="H176" s="31" t="str">
        <f>HYPERLINK("https://forsailors.es/product-page/desconectador-de-bateria-bep-ez-400-a-on-off/","Ficha oficial del producto")</f>
        <v>Ficha oficial del producto</v>
      </c>
      <c r="I176" s="23" t="s">
        <v>423</v>
      </c>
      <c r="J176" s="25">
        <v>46296.0</v>
      </c>
    </row>
    <row r="177" ht="42.0" customHeight="1">
      <c r="A177" s="1" t="s">
        <v>410</v>
      </c>
      <c r="B177" s="15" t="s">
        <v>411</v>
      </c>
      <c r="C177" s="1" t="s">
        <v>419</v>
      </c>
      <c r="D177" s="15" t="s">
        <v>454</v>
      </c>
      <c r="E177" s="20">
        <v>22.06</v>
      </c>
      <c r="F177" s="15" t="str">
        <f t="shared" si="1"/>
        <v>IVA incluido</v>
      </c>
      <c r="G177" s="20">
        <f t="shared" si="2"/>
        <v>18.23</v>
      </c>
      <c r="H177" s="30" t="str">
        <f>HYPERLINK("https://forsailors.es/product-page/luz-de-navegacion-bicolor-led-imnasa-12-v-e-ip66/","Ficha oficial del producto")</f>
        <v>Ficha oficial del producto</v>
      </c>
      <c r="I177" s="15" t="s">
        <v>423</v>
      </c>
      <c r="J177" s="21">
        <v>46296.0</v>
      </c>
    </row>
    <row r="178" ht="42.0" customHeight="1">
      <c r="A178" s="22" t="s">
        <v>412</v>
      </c>
      <c r="B178" s="23" t="s">
        <v>413</v>
      </c>
      <c r="C178" s="22" t="s">
        <v>419</v>
      </c>
      <c r="D178" s="23" t="s">
        <v>454</v>
      </c>
      <c r="E178" s="24">
        <v>45.8</v>
      </c>
      <c r="F178" s="23" t="str">
        <f t="shared" si="1"/>
        <v>IVA incluido</v>
      </c>
      <c r="G178" s="24">
        <f t="shared" si="2"/>
        <v>37.85</v>
      </c>
      <c r="H178" s="31" t="str">
        <f>HYPERLINK("https://forsailors.es/product-page/mini-disyuntor-egis-4701-20b-de-20-a-montaje-en-panel/","Ficha oficial del producto")</f>
        <v>Ficha oficial del producto</v>
      </c>
      <c r="I178" s="23" t="s">
        <v>423</v>
      </c>
      <c r="J178" s="25">
        <v>46296.0</v>
      </c>
    </row>
    <row r="179" ht="42.0" customHeight="1">
      <c r="A179" s="1" t="s">
        <v>414</v>
      </c>
      <c r="B179" s="15" t="s">
        <v>415</v>
      </c>
      <c r="C179" s="1" t="s">
        <v>419</v>
      </c>
      <c r="D179" s="15" t="s">
        <v>454</v>
      </c>
      <c r="E179" s="20">
        <v>46.31</v>
      </c>
      <c r="F179" s="15" t="str">
        <f t="shared" si="1"/>
        <v>IVA incluido</v>
      </c>
      <c r="G179" s="20">
        <f t="shared" si="2"/>
        <v>38.27</v>
      </c>
      <c r="H179" s="30" t="str">
        <f>HYPERLINK("https://forsailors.es/product-page/portafusibles-egis-8025b-6-circuitos-con-negativo-comun/","Ficha oficial del producto")</f>
        <v>Ficha oficial del producto</v>
      </c>
      <c r="I179" s="15" t="s">
        <v>423</v>
      </c>
      <c r="J179" s="21">
        <v>46296.0</v>
      </c>
    </row>
    <row r="180" ht="42.0" customHeight="1">
      <c r="A180" s="22" t="s">
        <v>416</v>
      </c>
      <c r="B180" s="23" t="s">
        <v>417</v>
      </c>
      <c r="C180" s="22" t="s">
        <v>419</v>
      </c>
      <c r="D180" s="23" t="s">
        <v>454</v>
      </c>
      <c r="E180" s="24">
        <v>25.45</v>
      </c>
      <c r="F180" s="23" t="str">
        <f t="shared" si="1"/>
        <v>IVA incluido</v>
      </c>
      <c r="G180" s="24">
        <f t="shared" si="2"/>
        <v>21.03</v>
      </c>
      <c r="H180" s="31" t="str">
        <f>HYPERLINK("https://forsailors.es/product-page/toma-usb-imnasa-para-instalacion-de-12-24-v/","Ficha oficial del producto")</f>
        <v>Ficha oficial del producto</v>
      </c>
      <c r="I180" s="23" t="s">
        <v>465</v>
      </c>
      <c r="J180" s="25">
        <v>46296.0</v>
      </c>
    </row>
    <row r="181" ht="42.0" customHeight="1">
      <c r="A181" s="1" t="s">
        <v>421</v>
      </c>
      <c r="B181" s="15" t="s">
        <v>422</v>
      </c>
      <c r="C181" s="1" t="s">
        <v>419</v>
      </c>
      <c r="D181" s="15" t="s">
        <v>466</v>
      </c>
      <c r="E181" s="20">
        <v>84.48</v>
      </c>
      <c r="F181" s="15" t="str">
        <f t="shared" si="1"/>
        <v>IVA incluido</v>
      </c>
      <c r="G181" s="20">
        <f t="shared" si="2"/>
        <v>69.82</v>
      </c>
      <c r="H181" s="30" t="str">
        <f>HYPERLINK("https://forsailors.es/product-page/ancla-lewmar-delta-galvanizada-de-6-kg/","Ficha oficial del producto")</f>
        <v>Ficha oficial del producto</v>
      </c>
      <c r="I181" s="15" t="s">
        <v>470</v>
      </c>
      <c r="J181" s="21">
        <v>46296.0</v>
      </c>
    </row>
    <row r="182" ht="42.0" customHeight="1">
      <c r="A182" s="22" t="s">
        <v>424</v>
      </c>
      <c r="B182" s="23" t="s">
        <v>425</v>
      </c>
      <c r="C182" s="22" t="s">
        <v>419</v>
      </c>
      <c r="D182" s="23" t="s">
        <v>466</v>
      </c>
      <c r="E182" s="24">
        <v>30.82</v>
      </c>
      <c r="F182" s="23" t="str">
        <f t="shared" si="1"/>
        <v>IVA incluido</v>
      </c>
      <c r="G182" s="24">
        <f t="shared" si="2"/>
        <v>25.47</v>
      </c>
      <c r="H182" s="31" t="str">
        <f>HYPERLINK("https://forsailors.es/product-page/cabo-de-amarre-liros-moorex-navy-con-gaza/?attribute_variante=Moorex%3B+Navy%3B+10+mm+%C3%97+6+m","Ficha oficial del producto")</f>
        <v>Ficha oficial del producto</v>
      </c>
      <c r="I182" s="23" t="s">
        <v>423</v>
      </c>
      <c r="J182" s="25">
        <v>46296.0</v>
      </c>
    </row>
    <row r="183" ht="42.0" customHeight="1">
      <c r="A183" s="1" t="s">
        <v>426</v>
      </c>
      <c r="B183" s="15" t="s">
        <v>427</v>
      </c>
      <c r="C183" s="1" t="s">
        <v>419</v>
      </c>
      <c r="D183" s="15" t="s">
        <v>466</v>
      </c>
      <c r="E183" s="20">
        <v>70.19</v>
      </c>
      <c r="F183" s="15" t="str">
        <f t="shared" si="1"/>
        <v>IVA incluido</v>
      </c>
      <c r="G183" s="20">
        <f t="shared" si="2"/>
        <v>58.01</v>
      </c>
      <c r="H183" s="30" t="str">
        <f>HYPERLINK("https://forsailors.es/product-page/cabo-de-amarre-liros-moorex-navy-con-gaza/?attribute_variante=Moorex%3B+Navy%3B+12+mm+%C3%97+15+m","Ficha oficial del producto")</f>
        <v>Ficha oficial del producto</v>
      </c>
      <c r="I183" s="15" t="s">
        <v>423</v>
      </c>
      <c r="J183" s="21">
        <v>46296.0</v>
      </c>
    </row>
    <row r="184" ht="42.0" customHeight="1">
      <c r="A184" s="22" t="s">
        <v>428</v>
      </c>
      <c r="B184" s="23" t="s">
        <v>429</v>
      </c>
      <c r="C184" s="22" t="s">
        <v>419</v>
      </c>
      <c r="D184" s="23" t="s">
        <v>466</v>
      </c>
      <c r="E184" s="24">
        <v>66.82</v>
      </c>
      <c r="F184" s="23" t="str">
        <f t="shared" si="1"/>
        <v>IVA incluido</v>
      </c>
      <c r="G184" s="24">
        <f t="shared" si="2"/>
        <v>55.22</v>
      </c>
      <c r="H184" s="31" t="str">
        <f>HYPERLINK("https://forsailors.es/product-page/cabo-de-amarre-liros-moorex-navy-con-gaza/?attribute_variante=Moorex%3B+Navy%3B+14+mm+%C3%97+10+m","Ficha oficial del producto")</f>
        <v>Ficha oficial del producto</v>
      </c>
      <c r="I184" s="23" t="s">
        <v>423</v>
      </c>
      <c r="J184" s="25">
        <v>46296.0</v>
      </c>
    </row>
    <row r="185" ht="42.0" customHeight="1">
      <c r="A185" s="1" t="s">
        <v>430</v>
      </c>
      <c r="B185" s="15" t="s">
        <v>431</v>
      </c>
      <c r="C185" s="1" t="s">
        <v>419</v>
      </c>
      <c r="D185" s="15" t="s">
        <v>466</v>
      </c>
      <c r="E185" s="20">
        <v>103.75</v>
      </c>
      <c r="F185" s="15" t="str">
        <f t="shared" si="1"/>
        <v>IVA incluido</v>
      </c>
      <c r="G185" s="20">
        <f t="shared" si="2"/>
        <v>85.74</v>
      </c>
      <c r="H185" s="30" t="str">
        <f>HYPERLINK("https://forsailors.es/product-page/cabo-de-amarre-liros-moorex-navy-con-gaza/?attribute_variante=Moorex%3B+Navy%3B+16+mm+%C3%97+15+m","Ficha oficial del producto")</f>
        <v>Ficha oficial del producto</v>
      </c>
      <c r="I185" s="15" t="s">
        <v>423</v>
      </c>
      <c r="J185" s="21">
        <v>46296.0</v>
      </c>
    </row>
    <row r="186" ht="42.0" customHeight="1">
      <c r="A186" s="22" t="s">
        <v>433</v>
      </c>
      <c r="B186" s="23" t="s">
        <v>434</v>
      </c>
      <c r="C186" s="22" t="s">
        <v>419</v>
      </c>
      <c r="D186" s="23" t="s">
        <v>466</v>
      </c>
      <c r="E186" s="24">
        <v>2.99</v>
      </c>
      <c r="F186" s="23" t="str">
        <f t="shared" si="1"/>
        <v>IVA incluido</v>
      </c>
      <c r="G186" s="24">
        <f t="shared" si="2"/>
        <v>2.47</v>
      </c>
      <c r="H186" s="31" t="str">
        <f>HYPERLINK("https://forsailors.es/product-page/cabo-imnasa-para-defensa-con-gaza-negro-8-mm-x-15-m/","Ficha oficial del producto")</f>
        <v>Ficha oficial del producto</v>
      </c>
      <c r="I186" s="23" t="s">
        <v>423</v>
      </c>
      <c r="J186" s="25">
        <v>46296.0</v>
      </c>
    </row>
    <row r="187" ht="42.0" customHeight="1">
      <c r="A187" s="1" t="s">
        <v>435</v>
      </c>
      <c r="B187" s="15" t="s">
        <v>436</v>
      </c>
      <c r="C187" s="1" t="s">
        <v>419</v>
      </c>
      <c r="D187" s="15" t="s">
        <v>466</v>
      </c>
      <c r="E187" s="20">
        <v>14.23</v>
      </c>
      <c r="F187" s="15" t="str">
        <f t="shared" si="1"/>
        <v>IVA incluido</v>
      </c>
      <c r="G187" s="20">
        <f t="shared" si="2"/>
        <v>11.76</v>
      </c>
      <c r="H187" s="30" t="str">
        <f>HYPERLINK("https://forsailors.es/product-page/cabo-plano-liros-para-defensa-negro-8-mm-x-15-m/","Ficha oficial del producto")</f>
        <v>Ficha oficial del producto</v>
      </c>
      <c r="I187" s="15" t="s">
        <v>423</v>
      </c>
      <c r="J187" s="21">
        <v>46296.0</v>
      </c>
    </row>
    <row r="188" ht="42.0" customHeight="1">
      <c r="A188" s="22" t="s">
        <v>437</v>
      </c>
      <c r="B188" s="23" t="s">
        <v>438</v>
      </c>
      <c r="C188" s="22" t="s">
        <v>419</v>
      </c>
      <c r="D188" s="23" t="s">
        <v>466</v>
      </c>
      <c r="E188" s="24">
        <v>50.67</v>
      </c>
      <c r="F188" s="23" t="str">
        <f t="shared" si="1"/>
        <v>IVA incluido</v>
      </c>
      <c r="G188" s="24">
        <f t="shared" si="2"/>
        <v>41.88</v>
      </c>
      <c r="H188" s="31" t="str">
        <f>HYPERLINK("https://forsailors.es/product-page/defensa-esferica-polyform-a-0-blanca-230-x-290-mm/","Ficha oficial del producto")</f>
        <v>Ficha oficial del producto</v>
      </c>
      <c r="I188" s="23" t="s">
        <v>423</v>
      </c>
      <c r="J188" s="25">
        <v>46296.0</v>
      </c>
    </row>
    <row r="189" ht="42.0" customHeight="1">
      <c r="A189" s="1" t="s">
        <v>439</v>
      </c>
      <c r="B189" s="15" t="s">
        <v>440</v>
      </c>
      <c r="C189" s="1" t="s">
        <v>419</v>
      </c>
      <c r="D189" s="15" t="s">
        <v>466</v>
      </c>
      <c r="E189" s="20">
        <v>11.06</v>
      </c>
      <c r="F189" s="15" t="str">
        <f t="shared" si="1"/>
        <v>IVA incluido</v>
      </c>
      <c r="G189" s="20">
        <f t="shared" si="2"/>
        <v>9.14</v>
      </c>
      <c r="H189" s="30" t="str">
        <f>HYPERLINK("https://forsailors.es/product-page/defensas-imnasa-serie-g-blancas-g2-y-g3/?attribute_variante=G2%3B+blanco%3B+114+%C3%97+406+mm","Ficha oficial del producto")</f>
        <v>Ficha oficial del producto</v>
      </c>
      <c r="I189" s="15" t="s">
        <v>423</v>
      </c>
      <c r="J189" s="21">
        <v>46296.0</v>
      </c>
    </row>
    <row r="190" ht="42.0" customHeight="1">
      <c r="A190" s="22" t="s">
        <v>441</v>
      </c>
      <c r="B190" s="23" t="s">
        <v>442</v>
      </c>
      <c r="C190" s="22" t="s">
        <v>419</v>
      </c>
      <c r="D190" s="23" t="s">
        <v>466</v>
      </c>
      <c r="E190" s="24">
        <v>17.16</v>
      </c>
      <c r="F190" s="23" t="str">
        <f t="shared" si="1"/>
        <v>IVA incluido</v>
      </c>
      <c r="G190" s="24">
        <f t="shared" si="2"/>
        <v>14.18</v>
      </c>
      <c r="H190" s="31" t="str">
        <f>HYPERLINK("https://forsailors.es/product-page/defensas-imnasa-serie-g-blancas-g2-y-g3/?attribute_variante=G3%3B+blanco%3B+140+%C3%97+508+mm","Ficha oficial del producto")</f>
        <v>Ficha oficial del producto</v>
      </c>
      <c r="I190" s="23" t="s">
        <v>423</v>
      </c>
      <c r="J190" s="25">
        <v>46296.0</v>
      </c>
    </row>
    <row r="191" ht="42.0" customHeight="1">
      <c r="A191" s="1" t="s">
        <v>443</v>
      </c>
      <c r="B191" s="15" t="s">
        <v>444</v>
      </c>
      <c r="C191" s="1" t="s">
        <v>419</v>
      </c>
      <c r="D191" s="15" t="s">
        <v>466</v>
      </c>
      <c r="E191" s="20">
        <v>59.59</v>
      </c>
      <c r="F191" s="15" t="str">
        <f t="shared" si="1"/>
        <v>IVA incluido</v>
      </c>
      <c r="G191" s="20">
        <f t="shared" si="2"/>
        <v>49.25</v>
      </c>
      <c r="H191" s="30" t="str">
        <f>HYPERLINK("https://forsailors.es/product-page/defensas-polyform-f-blancas-f-1-y-f-2/?attribute_variante=F-1%3B+blanco%3B+150+%C3%97+640+mm","Ficha oficial del producto")</f>
        <v>Ficha oficial del producto</v>
      </c>
      <c r="I191" s="15" t="s">
        <v>423</v>
      </c>
      <c r="J191" s="21">
        <v>46296.0</v>
      </c>
    </row>
    <row r="192" ht="42.0" customHeight="1">
      <c r="A192" s="22" t="s">
        <v>445</v>
      </c>
      <c r="B192" s="23" t="s">
        <v>446</v>
      </c>
      <c r="C192" s="22" t="s">
        <v>419</v>
      </c>
      <c r="D192" s="23" t="s">
        <v>466</v>
      </c>
      <c r="E192" s="24">
        <v>74.46</v>
      </c>
      <c r="F192" s="23" t="str">
        <f t="shared" si="1"/>
        <v>IVA incluido</v>
      </c>
      <c r="G192" s="24">
        <f t="shared" si="2"/>
        <v>61.54</v>
      </c>
      <c r="H192" s="31" t="str">
        <f>HYPERLINK("https://forsailors.es/product-page/defensas-polyform-f-blancas-f-1-y-f-2/?attribute_variante=F-2%3B+blanco%3B+220+%C3%97+640+mm","Ficha oficial del producto")</f>
        <v>Ficha oficial del producto</v>
      </c>
      <c r="I192" s="23" t="s">
        <v>423</v>
      </c>
      <c r="J192" s="25">
        <v>46296.0</v>
      </c>
    </row>
    <row r="193" ht="42.0" customHeight="1">
      <c r="A193" s="1" t="s">
        <v>447</v>
      </c>
      <c r="B193" s="15" t="s">
        <v>448</v>
      </c>
      <c r="C193" s="1" t="s">
        <v>419</v>
      </c>
      <c r="D193" s="15" t="s">
        <v>466</v>
      </c>
      <c r="E193" s="20">
        <v>37.95</v>
      </c>
      <c r="F193" s="15" t="str">
        <f t="shared" si="1"/>
        <v>IVA incluido</v>
      </c>
      <c r="G193" s="20">
        <f t="shared" si="2"/>
        <v>31.36</v>
      </c>
      <c r="H193" s="30" t="str">
        <f>HYPERLINK("https://forsailors.es/product-page/muelle-de-amarre-galvanizado-de-8-mm-imnasa/","Ficha oficial del producto")</f>
        <v>Ficha oficial del producto</v>
      </c>
      <c r="I193" s="15" t="s">
        <v>423</v>
      </c>
      <c r="J193" s="21">
        <v>46296.0</v>
      </c>
    </row>
    <row r="194" ht="42.0" customHeight="1">
      <c r="A194" s="22" t="s">
        <v>450</v>
      </c>
      <c r="B194" s="23" t="s">
        <v>451</v>
      </c>
      <c r="C194" s="22" t="s">
        <v>419</v>
      </c>
      <c r="D194" s="23" t="s">
        <v>492</v>
      </c>
      <c r="E194" s="24">
        <v>18.98</v>
      </c>
      <c r="F194" s="23" t="str">
        <f t="shared" si="1"/>
        <v>IVA incluido</v>
      </c>
      <c r="G194" s="24">
        <f t="shared" si="2"/>
        <v>15.69</v>
      </c>
      <c r="H194" s="31" t="str">
        <f>HYPERLINK("https://forsailors.es/product-page/lubricante-star-brite-para-clips-y-cremalleras/","Ficha oficial del producto")</f>
        <v>Ficha oficial del producto</v>
      </c>
      <c r="I194" s="23" t="s">
        <v>423</v>
      </c>
      <c r="J194" s="25">
        <v>46296.0</v>
      </c>
    </row>
    <row r="195" ht="42.0" customHeight="1">
      <c r="A195" s="1" t="s">
        <v>452</v>
      </c>
      <c r="B195" s="15" t="s">
        <v>453</v>
      </c>
      <c r="C195" s="1" t="s">
        <v>419</v>
      </c>
      <c r="D195" s="15" t="s">
        <v>492</v>
      </c>
      <c r="E195" s="20">
        <v>22.95</v>
      </c>
      <c r="F195" s="15" t="str">
        <f t="shared" si="1"/>
        <v>IVA incluido</v>
      </c>
      <c r="G195" s="20">
        <f t="shared" si="2"/>
        <v>18.97</v>
      </c>
      <c r="H195" s="30" t="str">
        <f>HYPERLINK("https://forsailors.es/product-page/sellador-marino-teroson-ms930-blanco-y-negro/?attribute_variante=MS930%3B+blanco%3B+310+ml","Ficha oficial del producto")</f>
        <v>Ficha oficial del producto</v>
      </c>
      <c r="I195" s="15" t="s">
        <v>494</v>
      </c>
      <c r="J195" s="21">
        <v>46296.0</v>
      </c>
    </row>
    <row r="196" ht="54.0" customHeight="1">
      <c r="A196" s="22" t="s">
        <v>455</v>
      </c>
      <c r="B196" s="23" t="s">
        <v>456</v>
      </c>
      <c r="C196" s="22" t="s">
        <v>419</v>
      </c>
      <c r="D196" s="23" t="s">
        <v>492</v>
      </c>
      <c r="E196" s="24">
        <v>23.91</v>
      </c>
      <c r="F196" s="23" t="str">
        <f t="shared" si="1"/>
        <v>IVA incluido</v>
      </c>
      <c r="G196" s="24">
        <f t="shared" si="2"/>
        <v>19.76</v>
      </c>
      <c r="H196" s="31" t="str">
        <f>HYPERLINK("https://forsailors.es/product-page/sellador-marino-teroson-ms930-blanco-y-negro/?attribute_variante=MS930%3B+negro%3B+290+ml+seg%C3%BAn+descripci%C3%B3n+y+cat%C3%A1logo%3B+t%C3%ADtulo+310+ml","Ficha oficial del producto")</f>
        <v>Ficha oficial del producto</v>
      </c>
      <c r="I196" s="23" t="s">
        <v>494</v>
      </c>
      <c r="J196" s="25">
        <v>46296.0</v>
      </c>
    </row>
    <row r="197" ht="42.0" customHeight="1">
      <c r="A197" s="1" t="s">
        <v>457</v>
      </c>
      <c r="B197" s="15" t="s">
        <v>458</v>
      </c>
      <c r="C197" s="1" t="s">
        <v>419</v>
      </c>
      <c r="D197" s="15" t="s">
        <v>492</v>
      </c>
      <c r="E197" s="20">
        <v>14.0</v>
      </c>
      <c r="F197" s="15" t="str">
        <f t="shared" si="1"/>
        <v>IVA incluido</v>
      </c>
      <c r="G197" s="20">
        <f t="shared" si="2"/>
        <v>11.57</v>
      </c>
      <c r="H197" s="30" t="str">
        <f>HYPERLINK("https://forsailors.es/product-page/star-brite-boat-wash-jabon-de-cubierta-500-ml/","Ficha oficial del producto")</f>
        <v>Ficha oficial del producto</v>
      </c>
      <c r="I197" s="15" t="s">
        <v>423</v>
      </c>
      <c r="J197" s="21">
        <v>46296.0</v>
      </c>
    </row>
    <row r="198" ht="42.0" customHeight="1">
      <c r="A198" s="22" t="s">
        <v>459</v>
      </c>
      <c r="B198" s="23" t="s">
        <v>460</v>
      </c>
      <c r="C198" s="22" t="s">
        <v>419</v>
      </c>
      <c r="D198" s="23" t="s">
        <v>492</v>
      </c>
      <c r="E198" s="24">
        <v>33.34</v>
      </c>
      <c r="F198" s="23" t="str">
        <f t="shared" si="1"/>
        <v>IVA incluido</v>
      </c>
      <c r="G198" s="24">
        <f t="shared" si="2"/>
        <v>27.55</v>
      </c>
      <c r="H198" s="31" t="str">
        <f>HYPERLINK("https://forsailors.es/product-page/star-brite-instant-hull-cleaner-limpiador-de-casco-1-l/","Ficha oficial del producto")</f>
        <v>Ficha oficial del producto</v>
      </c>
      <c r="I198" s="23" t="s">
        <v>423</v>
      </c>
      <c r="J198" s="25">
        <v>46296.0</v>
      </c>
    </row>
    <row r="199" ht="42.0" customHeight="1">
      <c r="A199" s="1" t="s">
        <v>461</v>
      </c>
      <c r="B199" s="15" t="s">
        <v>462</v>
      </c>
      <c r="C199" s="1" t="s">
        <v>419</v>
      </c>
      <c r="D199" s="15" t="s">
        <v>492</v>
      </c>
      <c r="E199" s="20">
        <v>32.19</v>
      </c>
      <c r="F199" s="15" t="str">
        <f t="shared" si="1"/>
        <v>IVA incluido</v>
      </c>
      <c r="G199" s="20">
        <f t="shared" si="2"/>
        <v>26.6</v>
      </c>
      <c r="H199" s="30" t="str">
        <f>HYPERLINK("https://forsailors.es/product-page/star-brite-premium-cleaner-wax-500-ml/","Ficha oficial del producto")</f>
        <v>Ficha oficial del producto</v>
      </c>
      <c r="I199" s="15" t="s">
        <v>423</v>
      </c>
      <c r="J199" s="21">
        <v>46296.0</v>
      </c>
    </row>
    <row r="200" ht="42.0" customHeight="1">
      <c r="A200" s="22" t="s">
        <v>463</v>
      </c>
      <c r="B200" s="23" t="s">
        <v>464</v>
      </c>
      <c r="C200" s="22" t="s">
        <v>419</v>
      </c>
      <c r="D200" s="23" t="s">
        <v>492</v>
      </c>
      <c r="E200" s="24">
        <v>41.81</v>
      </c>
      <c r="F200" s="23" t="str">
        <f t="shared" si="1"/>
        <v>IVA incluido</v>
      </c>
      <c r="G200" s="24">
        <f t="shared" si="2"/>
        <v>34.55</v>
      </c>
      <c r="H200" s="31" t="str">
        <f>HYPERLINK("https://forsailors.es/product-page/star-brite-premium-marine-polish-ptfe-500-ml/","Ficha oficial del producto")</f>
        <v>Ficha oficial del producto</v>
      </c>
      <c r="I200" s="23" t="s">
        <v>423</v>
      </c>
      <c r="J200" s="25">
        <v>46296.0</v>
      </c>
    </row>
    <row r="201" ht="42.0" customHeight="1">
      <c r="A201" s="1" t="s">
        <v>468</v>
      </c>
      <c r="B201" s="15" t="s">
        <v>469</v>
      </c>
      <c r="C201" s="1" t="s">
        <v>419</v>
      </c>
      <c r="D201" s="15" t="s">
        <v>500</v>
      </c>
      <c r="E201" s="20">
        <v>25.8</v>
      </c>
      <c r="F201" s="15" t="str">
        <f t="shared" si="1"/>
        <v>IVA incluido</v>
      </c>
      <c r="G201" s="20">
        <f t="shared" si="2"/>
        <v>21.32</v>
      </c>
      <c r="H201" s="30" t="str">
        <f>HYPERLINK("https://forsailors.es/product-page/anodo-de-zinc-para-mercury-50-hp-equivalente-oem-31640/","Ficha oficial del producto")</f>
        <v>Ficha oficial del producto</v>
      </c>
      <c r="I201" s="15" t="s">
        <v>423</v>
      </c>
      <c r="J201" s="21">
        <v>46296.0</v>
      </c>
    </row>
    <row r="202" ht="42.0" customHeight="1">
      <c r="A202" s="22" t="s">
        <v>471</v>
      </c>
      <c r="B202" s="23" t="s">
        <v>472</v>
      </c>
      <c r="C202" s="22" t="s">
        <v>419</v>
      </c>
      <c r="D202" s="23" t="s">
        <v>500</v>
      </c>
      <c r="E202" s="24">
        <v>42.43</v>
      </c>
      <c r="F202" s="23" t="str">
        <f t="shared" si="1"/>
        <v>IVA incluido</v>
      </c>
      <c r="G202" s="24">
        <f t="shared" si="2"/>
        <v>35.07</v>
      </c>
      <c r="H202" s="31" t="str">
        <f>HYPERLINK("https://forsailors.es/product-page/anodo-de-zinc-para-volvo-penta-equivalente-oem-3855411/","Ficha oficial del producto")</f>
        <v>Ficha oficial del producto</v>
      </c>
      <c r="I202" s="23" t="s">
        <v>423</v>
      </c>
      <c r="J202" s="25">
        <v>46296.0</v>
      </c>
    </row>
    <row r="203" ht="42.0" customHeight="1">
      <c r="A203" s="1" t="s">
        <v>473</v>
      </c>
      <c r="B203" s="15" t="s">
        <v>474</v>
      </c>
      <c r="C203" s="1" t="s">
        <v>419</v>
      </c>
      <c r="D203" s="15" t="s">
        <v>500</v>
      </c>
      <c r="E203" s="20">
        <v>8.22</v>
      </c>
      <c r="F203" s="15" t="str">
        <f t="shared" si="1"/>
        <v>IVA incluido</v>
      </c>
      <c r="G203" s="20">
        <f t="shared" si="2"/>
        <v>6.79</v>
      </c>
      <c r="H203" s="30" t="str">
        <f>HYPERLINK("https://forsailors.es/product-page/anodo-de-zinc-para-yamaha-99-hp-equivalente-6e8-45251-00/","Ficha oficial del producto")</f>
        <v>Ficha oficial del producto</v>
      </c>
      <c r="I203" s="15" t="s">
        <v>423</v>
      </c>
      <c r="J203" s="21">
        <v>46296.0</v>
      </c>
    </row>
    <row r="204" ht="42.0" customHeight="1">
      <c r="A204" s="22" t="s">
        <v>475</v>
      </c>
      <c r="B204" s="23" t="s">
        <v>476</v>
      </c>
      <c r="C204" s="22" t="s">
        <v>419</v>
      </c>
      <c r="D204" s="23" t="s">
        <v>500</v>
      </c>
      <c r="E204" s="24">
        <v>25.82</v>
      </c>
      <c r="F204" s="23" t="str">
        <f t="shared" si="1"/>
        <v>IVA incluido</v>
      </c>
      <c r="G204" s="24">
        <f t="shared" si="2"/>
        <v>21.34</v>
      </c>
      <c r="H204" s="31" t="str">
        <f>HYPERLINK("https://forsailors.es/product-page/cartucho-de-filtro-de-gasolina-imnasa-tipo-racor-s3227/","Ficha oficial del producto")</f>
        <v>Ficha oficial del producto</v>
      </c>
      <c r="I204" s="23" t="s">
        <v>423</v>
      </c>
      <c r="J204" s="25">
        <v>46296.0</v>
      </c>
    </row>
    <row r="205" ht="42.0" customHeight="1">
      <c r="A205" s="1" t="s">
        <v>477</v>
      </c>
      <c r="B205" s="15" t="s">
        <v>478</v>
      </c>
      <c r="C205" s="1" t="s">
        <v>419</v>
      </c>
      <c r="D205" s="15" t="s">
        <v>500</v>
      </c>
      <c r="E205" s="20">
        <v>76.44</v>
      </c>
      <c r="F205" s="15" t="str">
        <f t="shared" si="1"/>
        <v>IVA incluido</v>
      </c>
      <c r="G205" s="20">
        <f t="shared" si="2"/>
        <v>63.17</v>
      </c>
      <c r="H205" s="30" t="str">
        <f>HYPERLINK("https://forsailors.es/product-page/filtro-completo-de-gasolina-imnasa-tipo-racor-s3227/","Ficha oficial del producto")</f>
        <v>Ficha oficial del producto</v>
      </c>
      <c r="I205" s="15" t="s">
        <v>423</v>
      </c>
      <c r="J205" s="21">
        <v>46296.0</v>
      </c>
    </row>
    <row r="206" ht="42.0" customHeight="1">
      <c r="A206" s="22" t="s">
        <v>479</v>
      </c>
      <c r="B206" s="23" t="s">
        <v>480</v>
      </c>
      <c r="C206" s="22" t="s">
        <v>419</v>
      </c>
      <c r="D206" s="23" t="s">
        <v>500</v>
      </c>
      <c r="E206" s="24">
        <v>24.25</v>
      </c>
      <c r="F206" s="23" t="str">
        <f t="shared" si="1"/>
        <v>IVA incluido</v>
      </c>
      <c r="G206" s="24">
        <f t="shared" si="2"/>
        <v>20.04</v>
      </c>
      <c r="H206" s="31" t="str">
        <f>HYPERLINK("https://forsailors.es/product-page/pera-de-cebado-de-gasolina-imnasa-3-8-pulgada/","Ficha oficial del producto")</f>
        <v>Ficha oficial del producto</v>
      </c>
      <c r="I206" s="23" t="s">
        <v>423</v>
      </c>
      <c r="J206" s="25">
        <v>46296.0</v>
      </c>
    </row>
    <row r="207" ht="42.0" customHeight="1">
      <c r="A207" s="1" t="s">
        <v>482</v>
      </c>
      <c r="B207" s="15" t="s">
        <v>483</v>
      </c>
      <c r="C207" s="1" t="s">
        <v>419</v>
      </c>
      <c r="D207" s="15" t="s">
        <v>501</v>
      </c>
      <c r="E207" s="20">
        <v>21.05</v>
      </c>
      <c r="F207" s="15" t="str">
        <f t="shared" si="1"/>
        <v>IVA incluido</v>
      </c>
      <c r="G207" s="20">
        <f t="shared" si="2"/>
        <v>17.4</v>
      </c>
      <c r="H207" s="30" t="str">
        <f>HYPERLINK("https://forsailors.es/product-page/chaleco-imnasa-tenerife-clase-100-n-talla-m-50-70-kg/","Ficha oficial del producto")</f>
        <v>Ficha oficial del producto</v>
      </c>
      <c r="I207" s="15" t="s">
        <v>423</v>
      </c>
      <c r="J207" s="21">
        <v>46296.0</v>
      </c>
    </row>
    <row r="208" ht="42.0" customHeight="1">
      <c r="A208" s="22" t="s">
        <v>484</v>
      </c>
      <c r="B208" s="23" t="s">
        <v>485</v>
      </c>
      <c r="C208" s="22" t="s">
        <v>419</v>
      </c>
      <c r="D208" s="23" t="s">
        <v>501</v>
      </c>
      <c r="E208" s="24">
        <v>105.12</v>
      </c>
      <c r="F208" s="23" t="str">
        <f t="shared" si="1"/>
        <v>IVA incluido</v>
      </c>
      <c r="G208" s="24">
        <f t="shared" si="2"/>
        <v>86.88</v>
      </c>
      <c r="H208" s="31" t="str">
        <f>HYPERLINK("https://forsailors.es/product-page/chaleco-inflable-imnasa-match-4-clase-150-n-navy/","Ficha oficial del producto")</f>
        <v>Ficha oficial del producto</v>
      </c>
      <c r="I208" s="23" t="s">
        <v>423</v>
      </c>
      <c r="J208" s="25">
        <v>46296.0</v>
      </c>
    </row>
    <row r="209" ht="42.0" customHeight="1">
      <c r="A209" s="1" t="s">
        <v>486</v>
      </c>
      <c r="B209" s="15" t="s">
        <v>487</v>
      </c>
      <c r="C209" s="1" t="s">
        <v>419</v>
      </c>
      <c r="D209" s="15" t="s">
        <v>501</v>
      </c>
      <c r="E209" s="20">
        <v>37.66</v>
      </c>
      <c r="F209" s="15" t="str">
        <f t="shared" si="1"/>
        <v>IVA incluido</v>
      </c>
      <c r="G209" s="20">
        <f t="shared" si="2"/>
        <v>31.12</v>
      </c>
      <c r="H209" s="30" t="str">
        <f>HYPERLINK("https://forsailors.es/product-page/herradura-salvavidas-imnasa-amarilla/","Ficha oficial del producto")</f>
        <v>Ficha oficial del producto</v>
      </c>
      <c r="I209" s="15" t="s">
        <v>423</v>
      </c>
      <c r="J209" s="21">
        <v>46296.0</v>
      </c>
    </row>
    <row r="210" ht="42.0" customHeight="1">
      <c r="A210" s="22" t="s">
        <v>488</v>
      </c>
      <c r="B210" s="23" t="s">
        <v>489</v>
      </c>
      <c r="C210" s="22" t="s">
        <v>419</v>
      </c>
      <c r="D210" s="23" t="s">
        <v>501</v>
      </c>
      <c r="E210" s="24">
        <v>18.5</v>
      </c>
      <c r="F210" s="23" t="str">
        <f t="shared" si="1"/>
        <v>IVA incluido</v>
      </c>
      <c r="G210" s="24">
        <f t="shared" si="2"/>
        <v>15.29</v>
      </c>
      <c r="H210" s="31" t="str">
        <f>HYPERLINK("https://forsailors.es/product-page/luz-flotante-imnasa-para-aro-salvavidas-con-soporte-y-cabo/","Ficha oficial del producto")</f>
        <v>Ficha oficial del producto</v>
      </c>
      <c r="I210" s="23" t="s">
        <v>494</v>
      </c>
      <c r="J210" s="25">
        <v>46296.0</v>
      </c>
    </row>
    <row r="211" ht="42.0" customHeight="1">
      <c r="A211" s="1" t="s">
        <v>490</v>
      </c>
      <c r="B211" s="15" t="s">
        <v>491</v>
      </c>
      <c r="C211" s="1" t="s">
        <v>64</v>
      </c>
      <c r="D211" s="15" t="s">
        <v>251</v>
      </c>
      <c r="E211" s="20">
        <v>154.8</v>
      </c>
      <c r="F211" s="15" t="str">
        <f t="shared" si="1"/>
        <v>IVA incluido</v>
      </c>
      <c r="G211" s="20">
        <f t="shared" si="2"/>
        <v>127.93</v>
      </c>
      <c r="H211" s="30" t="str">
        <f>HYPERLINK("https://forsailors.es/product-page/boya-regata-entrenamiento-plastimo/","Ficha oficial del producto")</f>
        <v>Ficha oficial del producto</v>
      </c>
      <c r="I211" s="15" t="s">
        <v>82</v>
      </c>
      <c r="J211" s="21">
        <v>46296.0</v>
      </c>
    </row>
    <row r="212" ht="122" customHeight="1">
      <c r="A212" t="str" s="22">
        <v>EX900426212</v>
      </c>
      <c r="B212" t="str" s="23">
        <v>Link V5 + Swing ALU · L · 1,0 m² · Rojo</v>
      </c>
      <c r="C212" t="str" s="22">
        <v>ForSchool</v>
      </c>
      <c r="D212" t="str" s="23">
        <v>Windsurf · Packs para escuelas</v>
      </c>
      <c r="E212" t="n" s="24">
        <v>1559</v>
      </c>
      <c r="F212" t="str" s="23">
        <f>IF($B$7="No","Sin IVA confirmado",IF(AND($B$7="Sí",ISNUMBER($B$3)),"IVA incluido","IVA pendiente"))</f>
        <v>IVA incluido</v>
      </c>
      <c r="G212" t="n" s="24">
        <f>IF($B$7="No",E212,IF(AND($B$7="Sí",ISNUMBER($B$3)),ROUND(E212/(1+$B$3),2),""))</f>
        <v>1288.43</v>
      </c>
      <c r="H212" t="str" s="23">
        <v>Catálogo visual escuelas windsurf, 09/10/2026, pág. 5</v>
      </c>
      <c r="I212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2" t="n" s="25">
        <v>46307</v>
      </c>
    </row>
    <row r="213" ht="122" customHeight="1">
      <c r="A213" t="str" s="1">
        <v>EX900426217</v>
      </c>
      <c r="B213" t="str" s="15">
        <v>Link V5 + Swing ALU · L · 1,5 m² · Naranja</v>
      </c>
      <c r="C213" t="str" s="1">
        <v>ForSchool</v>
      </c>
      <c r="D213" t="str" s="15">
        <v>Windsurf · Packs para escuelas</v>
      </c>
      <c r="E213" t="n" s="20">
        <v>1568.99</v>
      </c>
      <c r="F213" t="str" s="15">
        <f>IF($B$7="No","Sin IVA confirmado",IF(AND($B$7="Sí",ISNUMBER($B$3)),"IVA incluido","IVA pendiente"))</f>
        <v>IVA incluido</v>
      </c>
      <c r="G213" t="n" s="20">
        <f>IF($B$7="No",E213,IF(AND($B$7="Sí",ISNUMBER($B$3)),ROUND(E213/(1+$B$3),2),""))</f>
        <v>1296.69</v>
      </c>
      <c r="H213" t="str" s="15">
        <v>Catálogo visual escuelas windsurf, 09/10/2026, pág. 5</v>
      </c>
      <c r="I213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3" t="n" s="21">
        <v>46307</v>
      </c>
    </row>
    <row r="214" ht="122" customHeight="1">
      <c r="A214" t="str" s="22">
        <v>EX900426222</v>
      </c>
      <c r="B214" t="str" s="23">
        <v>Link V5 + Swing ALU · L · 2,0 m² · Azul claro</v>
      </c>
      <c r="C214" t="str" s="22">
        <v>ForSchool</v>
      </c>
      <c r="D214" t="str" s="23">
        <v>Windsurf · Packs para escuelas</v>
      </c>
      <c r="E214" t="n" s="24">
        <v>1589</v>
      </c>
      <c r="F214" t="str" s="23">
        <f>IF($B$7="No","Sin IVA confirmado",IF(AND($B$7="Sí",ISNUMBER($B$3)),"IVA incluido","IVA pendiente"))</f>
        <v>IVA incluido</v>
      </c>
      <c r="G214" t="n" s="24">
        <f>IF($B$7="No",E214,IF(AND($B$7="Sí",ISNUMBER($B$3)),ROUND(E214/(1+$B$3),2),""))</f>
        <v>1313.22</v>
      </c>
      <c r="H214" t="str" s="23">
        <v>Catálogo visual escuelas windsurf, 09/10/2026, pág. 5</v>
      </c>
      <c r="I214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4" t="n" s="25">
        <v>46307</v>
      </c>
    </row>
    <row r="215" ht="122" customHeight="1">
      <c r="A215" t="str" s="1">
        <v>EX900426227</v>
      </c>
      <c r="B215" t="str" s="15">
        <v>Link V5 + Swing ALU · L · 2,5 m² · Verde claro</v>
      </c>
      <c r="C215" t="str" s="1">
        <v>ForSchool</v>
      </c>
      <c r="D215" t="str" s="15">
        <v>Windsurf · Packs para escuelas</v>
      </c>
      <c r="E215" t="n" s="20">
        <v>1609</v>
      </c>
      <c r="F215" t="str" s="15">
        <f>IF($B$7="No","Sin IVA confirmado",IF(AND($B$7="Sí",ISNUMBER($B$3)),"IVA incluido","IVA pendiente"))</f>
        <v>IVA incluido</v>
      </c>
      <c r="G215" t="n" s="20">
        <f>IF($B$7="No",E215,IF(AND($B$7="Sí",ISNUMBER($B$3)),ROUND(E215/(1+$B$3),2),""))</f>
        <v>1329.75</v>
      </c>
      <c r="H215" t="str" s="15">
        <v>Catálogo visual escuelas windsurf, 09/10/2026, pág. 5</v>
      </c>
      <c r="I215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5" t="n" s="21">
        <v>46307</v>
      </c>
    </row>
    <row r="216" ht="122" customHeight="1">
      <c r="A216" t="str" s="22">
        <v>EX900424212</v>
      </c>
      <c r="B216" t="str" s="23">
        <v>Link V5 + Swing ALU · M · 1,0 m² · Rojo</v>
      </c>
      <c r="C216" t="str" s="22">
        <v>ForSchool</v>
      </c>
      <c r="D216" t="str" s="23">
        <v>Windsurf · Packs para escuelas</v>
      </c>
      <c r="E216" t="n" s="24">
        <v>1489</v>
      </c>
      <c r="F216" t="str" s="23">
        <f>IF($B$7="No","Sin IVA confirmado",IF(AND($B$7="Sí",ISNUMBER($B$3)),"IVA incluido","IVA pendiente"))</f>
        <v>IVA incluido</v>
      </c>
      <c r="G216" t="n" s="24">
        <f>IF($B$7="No",E216,IF(AND($B$7="Sí",ISNUMBER($B$3)),ROUND(E216/(1+$B$3),2),""))</f>
        <v>1230.58</v>
      </c>
      <c r="H216" t="str" s="23">
        <v>Catálogo visual escuelas windsurf, 09/10/2026, pág. 5</v>
      </c>
      <c r="I216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6" t="n" s="25">
        <v>46307</v>
      </c>
    </row>
    <row r="217" ht="122" customHeight="1">
      <c r="A217" t="str" s="1">
        <v>EX900424217</v>
      </c>
      <c r="B217" t="str" s="15">
        <v>Link V5 + Swing ALU · M · 1,5 m² · Rojo</v>
      </c>
      <c r="C217" t="str" s="1">
        <v>ForSchool</v>
      </c>
      <c r="D217" t="str" s="15">
        <v>Windsurf · Packs para escuelas</v>
      </c>
      <c r="E217" t="n" s="20">
        <v>1499</v>
      </c>
      <c r="F217" t="str" s="15">
        <f>IF($B$7="No","Sin IVA confirmado",IF(AND($B$7="Sí",ISNUMBER($B$3)),"IVA incluido","IVA pendiente"))</f>
        <v>IVA incluido</v>
      </c>
      <c r="G217" t="n" s="20">
        <f>IF($B$7="No",E217,IF(AND($B$7="Sí",ISNUMBER($B$3)),ROUND(E217/(1+$B$3),2),""))</f>
        <v>1238.84</v>
      </c>
      <c r="H217" t="str" s="15">
        <v>Catálogo visual escuelas windsurf, 09/10/2026, pág. 5</v>
      </c>
      <c r="I217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7" t="n" s="21">
        <v>46307</v>
      </c>
    </row>
    <row r="218" ht="122" customHeight="1">
      <c r="A218" t="str" s="22">
        <v>EX900424222</v>
      </c>
      <c r="B218" t="str" s="23">
        <v>Link V5 + Swing ALU · M · 2,0 m² · Azul claro</v>
      </c>
      <c r="C218" t="str" s="22">
        <v>ForSchool</v>
      </c>
      <c r="D218" t="str" s="23">
        <v>Windsurf · Packs para escuelas</v>
      </c>
      <c r="E218" t="n" s="24">
        <v>1519</v>
      </c>
      <c r="F218" t="str" s="23">
        <f>IF($B$7="No","Sin IVA confirmado",IF(AND($B$7="Sí",ISNUMBER($B$3)),"IVA incluido","IVA pendiente"))</f>
        <v>IVA incluido</v>
      </c>
      <c r="G218" t="n" s="24">
        <f>IF($B$7="No",E218,IF(AND($B$7="Sí",ISNUMBER($B$3)),ROUND(E218/(1+$B$3),2),""))</f>
        <v>1255.37</v>
      </c>
      <c r="H218" t="str" s="23">
        <v>Catálogo visual escuelas windsurf, 09/10/2026, pág. 5</v>
      </c>
      <c r="I218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8" t="n" s="25">
        <v>46307</v>
      </c>
    </row>
    <row r="219" ht="122" customHeight="1">
      <c r="A219" t="str" s="1">
        <v>EX900424227</v>
      </c>
      <c r="B219" t="str" s="15">
        <v>Link V5 + Swing ALU · M · 2,5 m² · Verde claro</v>
      </c>
      <c r="C219" t="str" s="1">
        <v>ForSchool</v>
      </c>
      <c r="D219" t="str" s="15">
        <v>Windsurf · Packs para escuelas</v>
      </c>
      <c r="E219" t="n" s="20">
        <v>1539</v>
      </c>
      <c r="F219" t="str" s="15">
        <f>IF($B$7="No","Sin IVA confirmado",IF(AND($B$7="Sí",ISNUMBER($B$3)),"IVA incluido","IVA pendiente"))</f>
        <v>IVA incluido</v>
      </c>
      <c r="G219" t="n" s="20">
        <f>IF($B$7="No",E219,IF(AND($B$7="Sí",ISNUMBER($B$3)),ROUND(E219/(1+$B$3),2),""))</f>
        <v>1271.9</v>
      </c>
      <c r="H219" t="str" s="15">
        <v>Catálogo visual escuelas windsurf, 09/10/2026, pág. 5</v>
      </c>
      <c r="I219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19" t="n" s="21">
        <v>46307</v>
      </c>
    </row>
    <row r="220" ht="122" customHeight="1">
      <c r="A220" t="str" s="22">
        <v>EX900426230</v>
      </c>
      <c r="B220" t="str" s="23">
        <v>Link V5 + Swing EPX · L · 3,0 m² · Rosa</v>
      </c>
      <c r="C220" t="str" s="22">
        <v>ForSchool</v>
      </c>
      <c r="D220" t="str" s="23">
        <v>Windsurf · Packs para escuelas</v>
      </c>
      <c r="E220" t="n" s="24">
        <v>1658.99</v>
      </c>
      <c r="F220" t="str" s="23">
        <f>IF($B$7="No","Sin IVA confirmado",IF(AND($B$7="Sí",ISNUMBER($B$3)),"IVA incluido","IVA pendiente"))</f>
        <v>IVA incluido</v>
      </c>
      <c r="G220" t="n" s="24">
        <f>IF($B$7="No",E220,IF(AND($B$7="Sí",ISNUMBER($B$3)),ROUND(E220/(1+$B$3),2),""))</f>
        <v>1371.07</v>
      </c>
      <c r="H220" t="str" s="23">
        <v>Catálogo visual escuelas windsurf, 09/10/2026, pág. 6</v>
      </c>
      <c r="I220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0" t="n" s="25">
        <v>46307</v>
      </c>
    </row>
    <row r="221" ht="122" customHeight="1">
      <c r="A221" t="str" s="1">
        <v>EX900426235</v>
      </c>
      <c r="B221" t="str" s="15">
        <v>Link V5 + Swing EPX · L · 3,5 m² · Amarillo flúor</v>
      </c>
      <c r="C221" t="str" s="1">
        <v>ForSchool</v>
      </c>
      <c r="D221" t="str" s="15">
        <v>Windsurf · Packs para escuelas</v>
      </c>
      <c r="E221" t="n" s="20">
        <v>1709</v>
      </c>
      <c r="F221" t="str" s="15">
        <f>IF($B$7="No","Sin IVA confirmado",IF(AND($B$7="Sí",ISNUMBER($B$3)),"IVA incluido","IVA pendiente"))</f>
        <v>IVA incluido</v>
      </c>
      <c r="G221" t="n" s="20">
        <f>IF($B$7="No",E221,IF(AND($B$7="Sí",ISNUMBER($B$3)),ROUND(E221/(1+$B$3),2),""))</f>
        <v>1412.4</v>
      </c>
      <c r="H221" t="str" s="15">
        <v>Catálogo visual escuelas windsurf, 09/10/2026, pág. 6</v>
      </c>
      <c r="I221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1" t="n" s="21">
        <v>46307</v>
      </c>
    </row>
    <row r="222" ht="122" customHeight="1">
      <c r="A222" t="str" s="22">
        <v>EX900426240</v>
      </c>
      <c r="B222" t="str" s="23">
        <v>Link V5 + Swing EPX · L · 4,0 m² · Azul claro</v>
      </c>
      <c r="C222" t="str" s="22">
        <v>ForSchool</v>
      </c>
      <c r="D222" t="str" s="23">
        <v>Windsurf · Packs para escuelas</v>
      </c>
      <c r="E222" t="n" s="24">
        <v>1729.01</v>
      </c>
      <c r="F222" t="str" s="23">
        <f>IF($B$7="No","Sin IVA confirmado",IF(AND($B$7="Sí",ISNUMBER($B$3)),"IVA incluido","IVA pendiente"))</f>
        <v>IVA incluido</v>
      </c>
      <c r="G222" t="n" s="24">
        <f>IF($B$7="No",E222,IF(AND($B$7="Sí",ISNUMBER($B$3)),ROUND(E222/(1+$B$3),2),""))</f>
        <v>1428.93</v>
      </c>
      <c r="H222" t="str" s="23">
        <v>Catálogo visual escuelas windsurf, 09/10/2026, pág. 6</v>
      </c>
      <c r="I222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2" t="n" s="25">
        <v>46307</v>
      </c>
    </row>
    <row r="223" ht="122" customHeight="1">
      <c r="A223" t="str" s="1">
        <v>EX900426245</v>
      </c>
      <c r="B223" t="str" s="15">
        <v>Link V5 + Swing EPX · L · 4,5 m² · Naranja</v>
      </c>
      <c r="C223" t="str" s="1">
        <v>ForSchool</v>
      </c>
      <c r="D223" t="str" s="15">
        <v>Windsurf · Packs para escuelas</v>
      </c>
      <c r="E223" t="n" s="20">
        <v>1739</v>
      </c>
      <c r="F223" t="str" s="15">
        <f>IF($B$7="No","Sin IVA confirmado",IF(AND($B$7="Sí",ISNUMBER($B$3)),"IVA incluido","IVA pendiente"))</f>
        <v>IVA incluido</v>
      </c>
      <c r="G223" t="n" s="20">
        <f>IF($B$7="No",E223,IF(AND($B$7="Sí",ISNUMBER($B$3)),ROUND(E223/(1+$B$3),2),""))</f>
        <v>1437.19</v>
      </c>
      <c r="H223" t="str" s="15">
        <v>Catálogo visual escuelas windsurf, 09/10/2026, pág. 6</v>
      </c>
      <c r="I223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3" t="n" s="21">
        <v>46307</v>
      </c>
    </row>
    <row r="224" ht="122" customHeight="1">
      <c r="A224" t="str" s="22">
        <v>EX900426250</v>
      </c>
      <c r="B224" t="str" s="23">
        <v>Link V5 + Swing EPX · L · 5,0 m² · Blanco</v>
      </c>
      <c r="C224" t="str" s="22">
        <v>ForSchool</v>
      </c>
      <c r="D224" t="str" s="23">
        <v>Windsurf · Packs para escuelas</v>
      </c>
      <c r="E224" t="n" s="24">
        <v>1769</v>
      </c>
      <c r="F224" t="str" s="23">
        <f>IF($B$7="No","Sin IVA confirmado",IF(AND($B$7="Sí",ISNUMBER($B$3)),"IVA incluido","IVA pendiente"))</f>
        <v>IVA incluido</v>
      </c>
      <c r="G224" t="n" s="24">
        <f>IF($B$7="No",E224,IF(AND($B$7="Sí",ISNUMBER($B$3)),ROUND(E224/(1+$B$3),2),""))</f>
        <v>1461.98</v>
      </c>
      <c r="H224" t="str" s="23">
        <v>Catálogo visual escuelas windsurf, 09/10/2026, pág. 6</v>
      </c>
      <c r="I224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4" t="n" s="25">
        <v>46307</v>
      </c>
    </row>
    <row r="225" ht="122" customHeight="1">
      <c r="A225" t="str" s="1">
        <v>EX900426255</v>
      </c>
      <c r="B225" t="str" s="15">
        <v>Link V5 + Swing EPX · L · 5,5 m² · Rojo</v>
      </c>
      <c r="C225" t="str" s="1">
        <v>ForSchool</v>
      </c>
      <c r="D225" t="str" s="15">
        <v>Windsurf · Packs para escuelas</v>
      </c>
      <c r="E225" t="n" s="20">
        <v>1779</v>
      </c>
      <c r="F225" t="str" s="15">
        <f>IF($B$7="No","Sin IVA confirmado",IF(AND($B$7="Sí",ISNUMBER($B$3)),"IVA incluido","IVA pendiente"))</f>
        <v>IVA incluido</v>
      </c>
      <c r="G225" t="n" s="20">
        <f>IF($B$7="No",E225,IF(AND($B$7="Sí",ISNUMBER($B$3)),ROUND(E225/(1+$B$3),2),""))</f>
        <v>1470.25</v>
      </c>
      <c r="H225" t="str" s="15">
        <v>Catálogo visual escuelas windsurf, 09/10/2026, pág. 6</v>
      </c>
      <c r="I225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5" t="n" s="21">
        <v>46307</v>
      </c>
    </row>
    <row r="226" ht="122" customHeight="1">
      <c r="A226" t="str" s="22">
        <v>EX900424230</v>
      </c>
      <c r="B226" t="str" s="23">
        <v>Link V5 + Swing EPX · M · 3,0 m² · Rosa</v>
      </c>
      <c r="C226" t="str" s="22">
        <v>ForSchool</v>
      </c>
      <c r="D226" t="str" s="23">
        <v>Windsurf · Packs para escuelas</v>
      </c>
      <c r="E226" t="n" s="24">
        <v>1579</v>
      </c>
      <c r="F226" t="str" s="23">
        <f>IF($B$7="No","Sin IVA confirmado",IF(AND($B$7="Sí",ISNUMBER($B$3)),"IVA incluido","IVA pendiente"))</f>
        <v>IVA incluido</v>
      </c>
      <c r="G226" t="n" s="24">
        <f>IF($B$7="No",E226,IF(AND($B$7="Sí",ISNUMBER($B$3)),ROUND(E226/(1+$B$3),2),""))</f>
        <v>1304.96</v>
      </c>
      <c r="H226" t="str" s="23">
        <v>Catálogo visual escuelas windsurf, 09/10/2026, pág. 6</v>
      </c>
      <c r="I226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6" t="n" s="25">
        <v>46307</v>
      </c>
    </row>
    <row r="227" ht="122" customHeight="1">
      <c r="A227" t="str" s="1">
        <v>EX900424235</v>
      </c>
      <c r="B227" t="str" s="15">
        <v>Link V5 + Swing EPX · M · 3,5 m² · Amarillo flúor</v>
      </c>
      <c r="C227" t="str" s="1">
        <v>ForSchool</v>
      </c>
      <c r="D227" t="str" s="15">
        <v>Windsurf · Packs para escuelas</v>
      </c>
      <c r="E227" t="n" s="20">
        <v>1639.01</v>
      </c>
      <c r="F227" t="str" s="15">
        <f>IF($B$7="No","Sin IVA confirmado",IF(AND($B$7="Sí",ISNUMBER($B$3)),"IVA incluido","IVA pendiente"))</f>
        <v>IVA incluido</v>
      </c>
      <c r="G227" t="n" s="20">
        <f>IF($B$7="No",E227,IF(AND($B$7="Sí",ISNUMBER($B$3)),ROUND(E227/(1+$B$3),2),""))</f>
        <v>1354.55</v>
      </c>
      <c r="H227" t="str" s="15">
        <v>Catálogo visual escuelas windsurf, 09/10/2026, pág. 6</v>
      </c>
      <c r="I227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7" t="n" s="21">
        <v>46307</v>
      </c>
    </row>
    <row r="228" ht="122" customHeight="1">
      <c r="A228" t="str" s="22">
        <v>EX900424240</v>
      </c>
      <c r="B228" t="str" s="23">
        <v>Link V5 + Swing EPX · M · 4,0 m² · Azul claro</v>
      </c>
      <c r="C228" t="str" s="22">
        <v>ForSchool</v>
      </c>
      <c r="D228" t="str" s="23">
        <v>Windsurf · Packs para escuelas</v>
      </c>
      <c r="E228" t="n" s="24">
        <v>1649</v>
      </c>
      <c r="F228" t="str" s="23">
        <f>IF($B$7="No","Sin IVA confirmado",IF(AND($B$7="Sí",ISNUMBER($B$3)),"IVA incluido","IVA pendiente"))</f>
        <v>IVA incluido</v>
      </c>
      <c r="G228" t="n" s="24">
        <f>IF($B$7="No",E228,IF(AND($B$7="Sí",ISNUMBER($B$3)),ROUND(E228/(1+$B$3),2),""))</f>
        <v>1362.81</v>
      </c>
      <c r="H228" t="str" s="23">
        <v>Catálogo visual escuelas windsurf, 09/10/2026, pág. 6</v>
      </c>
      <c r="I228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8" t="n" s="25">
        <v>46307</v>
      </c>
    </row>
    <row r="229" ht="122" customHeight="1">
      <c r="A229" t="str" s="1">
        <v>EX900424245</v>
      </c>
      <c r="B229" t="str" s="15">
        <v>Link V5 + Swing EPX · M · 4,5 m² · Naranja</v>
      </c>
      <c r="C229" t="str" s="1">
        <v>ForSchool</v>
      </c>
      <c r="D229" t="str" s="15">
        <v>Windsurf · Packs para escuelas</v>
      </c>
      <c r="E229" t="n" s="20">
        <v>1669</v>
      </c>
      <c r="F229" t="str" s="15">
        <f>IF($B$7="No","Sin IVA confirmado",IF(AND($B$7="Sí",ISNUMBER($B$3)),"IVA incluido","IVA pendiente"))</f>
        <v>IVA incluido</v>
      </c>
      <c r="G229" t="n" s="20">
        <f>IF($B$7="No",E229,IF(AND($B$7="Sí",ISNUMBER($B$3)),ROUND(E229/(1+$B$3),2),""))</f>
        <v>1379.34</v>
      </c>
      <c r="H229" t="str" s="15">
        <v>Catálogo visual escuelas windsurf, 09/10/2026, pág. 6</v>
      </c>
      <c r="I229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29" t="n" s="21">
        <v>46307</v>
      </c>
    </row>
    <row r="230" ht="122" customHeight="1">
      <c r="A230" t="str" s="22">
        <v>EX900424250</v>
      </c>
      <c r="B230" t="str" s="23">
        <v>Link V5 + Swing EPX · M · 5,0 m² · Blanco</v>
      </c>
      <c r="C230" t="str" s="22">
        <v>ForSchool</v>
      </c>
      <c r="D230" t="str" s="23">
        <v>Windsurf · Packs para escuelas</v>
      </c>
      <c r="E230" t="n" s="24">
        <v>1699</v>
      </c>
      <c r="F230" t="str" s="23">
        <f>IF($B$7="No","Sin IVA confirmado",IF(AND($B$7="Sí",ISNUMBER($B$3)),"IVA incluido","IVA pendiente"))</f>
        <v>IVA incluido</v>
      </c>
      <c r="G230" t="n" s="24">
        <f>IF($B$7="No",E230,IF(AND($B$7="Sí",ISNUMBER($B$3)),ROUND(E230/(1+$B$3),2),""))</f>
        <v>1404.13</v>
      </c>
      <c r="H230" t="str" s="23">
        <v>Catálogo visual escuelas windsurf, 09/10/2026, pág. 6</v>
      </c>
      <c r="I230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0" t="n" s="25">
        <v>46307</v>
      </c>
    </row>
    <row r="231" ht="122" customHeight="1">
      <c r="A231" t="str" s="1">
        <v>EX900424255</v>
      </c>
      <c r="B231" t="str" s="15">
        <v>Link V5 + Swing EPX · M · 5,5 m² · Rojo</v>
      </c>
      <c r="C231" t="str" s="1">
        <v>ForSchool</v>
      </c>
      <c r="D231" t="str" s="15">
        <v>Windsurf · Packs para escuelas</v>
      </c>
      <c r="E231" t="n" s="20">
        <v>1709</v>
      </c>
      <c r="F231" t="str" s="15">
        <f>IF($B$7="No","Sin IVA confirmado",IF(AND($B$7="Sí",ISNUMBER($B$3)),"IVA incluido","IVA pendiente"))</f>
        <v>IVA incluido</v>
      </c>
      <c r="G231" t="n" s="20">
        <f>IF($B$7="No",E231,IF(AND($B$7="Sí",ISNUMBER($B$3)),ROUND(E231/(1+$B$3),2),""))</f>
        <v>1412.4</v>
      </c>
      <c r="H231" t="str" s="15">
        <v>Catálogo visual escuelas windsurf, 09/10/2026, pág. 6</v>
      </c>
      <c r="I231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1" t="n" s="21">
        <v>46307</v>
      </c>
    </row>
    <row r="232" ht="122" customHeight="1">
      <c r="A232" t="str" s="22">
        <v>EX900426712</v>
      </c>
      <c r="B232" t="str" s="23">
        <v>Link V5 + Experience TR ALU · L · 1,0 m² · Rojo</v>
      </c>
      <c r="C232" t="str" s="22">
        <v>ForSchool</v>
      </c>
      <c r="D232" t="str" s="23">
        <v>Windsurf · Packs para escuelas</v>
      </c>
      <c r="E232" t="n" s="24">
        <v>1579</v>
      </c>
      <c r="F232" t="str" s="23">
        <f>IF($B$7="No","Sin IVA confirmado",IF(AND($B$7="Sí",ISNUMBER($B$3)),"IVA incluido","IVA pendiente"))</f>
        <v>IVA incluido</v>
      </c>
      <c r="G232" t="n" s="24">
        <f>IF($B$7="No",E232,IF(AND($B$7="Sí",ISNUMBER($B$3)),ROUND(E232/(1+$B$3),2),""))</f>
        <v>1304.96</v>
      </c>
      <c r="H232" t="str" s="23">
        <v>Catálogo visual escuelas windsurf, 09/10/2026, pág. 7</v>
      </c>
      <c r="I232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2" t="n" s="25">
        <v>46307</v>
      </c>
    </row>
    <row r="233" ht="122" customHeight="1">
      <c r="A233" t="str" s="1">
        <v>EX900426717</v>
      </c>
      <c r="B233" t="str" s="15">
        <v>Link V5 + Experience TR ALU · L · 1,5 m² · Naranja</v>
      </c>
      <c r="C233" t="str" s="1">
        <v>ForSchool</v>
      </c>
      <c r="D233" t="str" s="15">
        <v>Windsurf · Packs para escuelas</v>
      </c>
      <c r="E233" t="n" s="20">
        <v>1589</v>
      </c>
      <c r="F233" t="str" s="15">
        <f>IF($B$7="No","Sin IVA confirmado",IF(AND($B$7="Sí",ISNUMBER($B$3)),"IVA incluido","IVA pendiente"))</f>
        <v>IVA incluido</v>
      </c>
      <c r="G233" t="n" s="20">
        <f>IF($B$7="No",E233,IF(AND($B$7="Sí",ISNUMBER($B$3)),ROUND(E233/(1+$B$3),2),""))</f>
        <v>1313.22</v>
      </c>
      <c r="H233" t="str" s="15">
        <v>Catálogo visual escuelas windsurf, 09/10/2026, pág. 7</v>
      </c>
      <c r="I233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3" t="n" s="21">
        <v>46307</v>
      </c>
    </row>
    <row r="234" ht="122" customHeight="1">
      <c r="A234" t="str" s="22">
        <v>EX900426722</v>
      </c>
      <c r="B234" t="str" s="23">
        <v>Link V5 + Experience TR ALU · L · 2,0 m² · Azul claro</v>
      </c>
      <c r="C234" t="str" s="22">
        <v>ForSchool</v>
      </c>
      <c r="D234" t="str" s="23">
        <v>Windsurf · Packs para escuelas</v>
      </c>
      <c r="E234" t="n" s="24">
        <v>1609</v>
      </c>
      <c r="F234" t="str" s="23">
        <f>IF($B$7="No","Sin IVA confirmado",IF(AND($B$7="Sí",ISNUMBER($B$3)),"IVA incluido","IVA pendiente"))</f>
        <v>IVA incluido</v>
      </c>
      <c r="G234" t="n" s="24">
        <f>IF($B$7="No",E234,IF(AND($B$7="Sí",ISNUMBER($B$3)),ROUND(E234/(1+$B$3),2),""))</f>
        <v>1329.75</v>
      </c>
      <c r="H234" t="str" s="23">
        <v>Catálogo visual escuelas windsurf, 09/10/2026, pág. 7</v>
      </c>
      <c r="I234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4" t="n" s="25">
        <v>46307</v>
      </c>
    </row>
    <row r="235" ht="122" customHeight="1">
      <c r="A235" t="str" s="1">
        <v>EX900426727</v>
      </c>
      <c r="B235" t="str" s="15">
        <v>Link V5 + Experience TR ALU · L · 2,5 m² · Verde claro</v>
      </c>
      <c r="C235" t="str" s="1">
        <v>ForSchool</v>
      </c>
      <c r="D235" t="str" s="15">
        <v>Windsurf · Packs para escuelas</v>
      </c>
      <c r="E235" t="n" s="20">
        <v>1629</v>
      </c>
      <c r="F235" t="str" s="15">
        <f>IF($B$7="No","Sin IVA confirmado",IF(AND($B$7="Sí",ISNUMBER($B$3)),"IVA incluido","IVA pendiente"))</f>
        <v>IVA incluido</v>
      </c>
      <c r="G235" t="n" s="20">
        <f>IF($B$7="No",E235,IF(AND($B$7="Sí",ISNUMBER($B$3)),ROUND(E235/(1+$B$3),2),""))</f>
        <v>1346.28</v>
      </c>
      <c r="H235" t="str" s="15">
        <v>Catálogo visual escuelas windsurf, 09/10/2026, pág. 7</v>
      </c>
      <c r="I235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5" t="n" s="21">
        <v>46307</v>
      </c>
    </row>
    <row r="236" ht="122" customHeight="1">
      <c r="A236" t="str" s="22">
        <v>EX900424712</v>
      </c>
      <c r="B236" t="str" s="23">
        <v>Link V5 + Experience TR ALU · M · 1,0 m² · Rojo</v>
      </c>
      <c r="C236" t="str" s="22">
        <v>ForSchool</v>
      </c>
      <c r="D236" t="str" s="23">
        <v>Windsurf · Packs para escuelas</v>
      </c>
      <c r="E236" t="n" s="24">
        <v>1509</v>
      </c>
      <c r="F236" t="str" s="23">
        <f>IF($B$7="No","Sin IVA confirmado",IF(AND($B$7="Sí",ISNUMBER($B$3)),"IVA incluido","IVA pendiente"))</f>
        <v>IVA incluido</v>
      </c>
      <c r="G236" t="n" s="24">
        <f>IF($B$7="No",E236,IF(AND($B$7="Sí",ISNUMBER($B$3)),ROUND(E236/(1+$B$3),2),""))</f>
        <v>1247.11</v>
      </c>
      <c r="H236" t="str" s="23">
        <v>Catálogo visual escuelas windsurf, 09/10/2026, pág. 7</v>
      </c>
      <c r="I236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6" t="n" s="25">
        <v>46307</v>
      </c>
    </row>
    <row r="237" ht="122" customHeight="1">
      <c r="A237" t="str" s="1">
        <v>EX900424717</v>
      </c>
      <c r="B237" t="str" s="15">
        <v>Link V5 + Experience TR ALU · M · 1,5 m² · Naranja</v>
      </c>
      <c r="C237" t="str" s="1">
        <v>ForSchool</v>
      </c>
      <c r="D237" t="str" s="15">
        <v>Windsurf · Packs para escuelas</v>
      </c>
      <c r="E237" t="n" s="20">
        <v>1519</v>
      </c>
      <c r="F237" t="str" s="15">
        <f>IF($B$7="No","Sin IVA confirmado",IF(AND($B$7="Sí",ISNUMBER($B$3)),"IVA incluido","IVA pendiente"))</f>
        <v>IVA incluido</v>
      </c>
      <c r="G237" t="n" s="20">
        <f>IF($B$7="No",E237,IF(AND($B$7="Sí",ISNUMBER($B$3)),ROUND(E237/(1+$B$3),2),""))</f>
        <v>1255.37</v>
      </c>
      <c r="H237" t="str" s="15">
        <v>Catálogo visual escuelas windsurf, 09/10/2026, pág. 7</v>
      </c>
      <c r="I237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7" t="n" s="21">
        <v>46307</v>
      </c>
    </row>
    <row r="238" ht="122" customHeight="1">
      <c r="A238" t="str" s="22">
        <v>EX900424722</v>
      </c>
      <c r="B238" t="str" s="23">
        <v>Link V5 + Experience TR ALU · M · 2,0 m² · Azul claro</v>
      </c>
      <c r="C238" t="str" s="22">
        <v>ForSchool</v>
      </c>
      <c r="D238" t="str" s="23">
        <v>Windsurf · Packs para escuelas</v>
      </c>
      <c r="E238" t="n" s="24">
        <v>1539</v>
      </c>
      <c r="F238" t="str" s="23">
        <f>IF($B$7="No","Sin IVA confirmado",IF(AND($B$7="Sí",ISNUMBER($B$3)),"IVA incluido","IVA pendiente"))</f>
        <v>IVA incluido</v>
      </c>
      <c r="G238" t="n" s="24">
        <f>IF($B$7="No",E238,IF(AND($B$7="Sí",ISNUMBER($B$3)),ROUND(E238/(1+$B$3),2),""))</f>
        <v>1271.9</v>
      </c>
      <c r="H238" t="str" s="23">
        <v>Catálogo visual escuelas windsurf, 09/10/2026, pág. 7</v>
      </c>
      <c r="I238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8" t="n" s="25">
        <v>46307</v>
      </c>
    </row>
    <row r="239" ht="122" customHeight="1">
      <c r="A239" t="str" s="1">
        <v>EX900424727</v>
      </c>
      <c r="B239" t="str" s="15">
        <v>Link V5 + Experience TR ALU · M · 2,5 m² · Verde claro</v>
      </c>
      <c r="C239" t="str" s="1">
        <v>ForSchool</v>
      </c>
      <c r="D239" t="str" s="15">
        <v>Windsurf · Packs para escuelas</v>
      </c>
      <c r="E239" t="n" s="20">
        <v>1559</v>
      </c>
      <c r="F239" t="str" s="15">
        <f>IF($B$7="No","Sin IVA confirmado",IF(AND($B$7="Sí",ISNUMBER($B$3)),"IVA incluido","IVA pendiente"))</f>
        <v>IVA incluido</v>
      </c>
      <c r="G239" t="n" s="20">
        <f>IF($B$7="No",E239,IF(AND($B$7="Sí",ISNUMBER($B$3)),ROUND(E239/(1+$B$3),2),""))</f>
        <v>1288.43</v>
      </c>
      <c r="H239" t="str" s="15">
        <v>Catálogo visual escuelas windsurf, 09/10/2026, pág. 7</v>
      </c>
      <c r="I239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39" t="n" s="21">
        <v>46307</v>
      </c>
    </row>
    <row r="240" ht="122" customHeight="1">
      <c r="A240" t="str" s="22">
        <v>EX900426730</v>
      </c>
      <c r="B240" t="str" s="23">
        <v>Link V5 + Experience TR EPX · L · 3,0 m² · Rosa</v>
      </c>
      <c r="C240" t="str" s="22">
        <v>ForSchool</v>
      </c>
      <c r="D240" t="str" s="23">
        <v>Windsurf · Packs para escuelas</v>
      </c>
      <c r="E240" t="n" s="24">
        <v>1669</v>
      </c>
      <c r="F240" t="str" s="23">
        <f>IF($B$7="No","Sin IVA confirmado",IF(AND($B$7="Sí",ISNUMBER($B$3)),"IVA incluido","IVA pendiente"))</f>
        <v>IVA incluido</v>
      </c>
      <c r="G240" t="n" s="24">
        <f>IF($B$7="No",E240,IF(AND($B$7="Sí",ISNUMBER($B$3)),ROUND(E240/(1+$B$3),2),""))</f>
        <v>1379.34</v>
      </c>
      <c r="H240" t="str" s="23">
        <v>Catálogo visual escuelas windsurf, 09/10/2026, pág. 8</v>
      </c>
      <c r="I240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0" t="n" s="25">
        <v>46307</v>
      </c>
    </row>
    <row r="241" ht="122" customHeight="1">
      <c r="A241" t="str" s="1">
        <v>EX900426735</v>
      </c>
      <c r="B241" t="str" s="15">
        <v>Link V5 + Experience TR EPX · L · 3,5 m² · Amarillo flúor</v>
      </c>
      <c r="C241" t="str" s="1">
        <v>ForSchool</v>
      </c>
      <c r="D241" t="str" s="15">
        <v>Windsurf · Packs para escuelas</v>
      </c>
      <c r="E241" t="n" s="20">
        <v>1729.01</v>
      </c>
      <c r="F241" t="str" s="15">
        <f>IF($B$7="No","Sin IVA confirmado",IF(AND($B$7="Sí",ISNUMBER($B$3)),"IVA incluido","IVA pendiente"))</f>
        <v>IVA incluido</v>
      </c>
      <c r="G241" t="n" s="20">
        <f>IF($B$7="No",E241,IF(AND($B$7="Sí",ISNUMBER($B$3)),ROUND(E241/(1+$B$3),2),""))</f>
        <v>1428.93</v>
      </c>
      <c r="H241" t="str" s="15">
        <v>Catálogo visual escuelas windsurf, 09/10/2026, pág. 8</v>
      </c>
      <c r="I241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1" t="n" s="21">
        <v>46307</v>
      </c>
    </row>
    <row r="242" ht="122" customHeight="1">
      <c r="A242" t="str" s="22">
        <v>EX900426740</v>
      </c>
      <c r="B242" t="str" s="23">
        <v>Link V5 + Experience TR EPX · L · 4,0 m² · Azul claro</v>
      </c>
      <c r="C242" t="str" s="22">
        <v>ForSchool</v>
      </c>
      <c r="D242" t="str" s="23">
        <v>Windsurf · Packs para escuelas</v>
      </c>
      <c r="E242" t="n" s="24">
        <v>1748.99</v>
      </c>
      <c r="F242" t="str" s="23">
        <f>IF($B$7="No","Sin IVA confirmado",IF(AND($B$7="Sí",ISNUMBER($B$3)),"IVA incluido","IVA pendiente"))</f>
        <v>IVA incluido</v>
      </c>
      <c r="G242" t="n" s="24">
        <f>IF($B$7="No",E242,IF(AND($B$7="Sí",ISNUMBER($B$3)),ROUND(E242/(1+$B$3),2),""))</f>
        <v>1445.45</v>
      </c>
      <c r="H242" t="str" s="23">
        <v>Catálogo visual escuelas windsurf, 09/10/2026, pág. 8</v>
      </c>
      <c r="I242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2" t="n" s="25">
        <v>46307</v>
      </c>
    </row>
    <row r="243" ht="122" customHeight="1">
      <c r="A243" t="str" s="1">
        <v>EX900426745</v>
      </c>
      <c r="B243" t="str" s="15">
        <v>Link V5 + Experience TR EPX · L · 4,5 m² · Naranja</v>
      </c>
      <c r="C243" t="str" s="1">
        <v>ForSchool</v>
      </c>
      <c r="D243" t="str" s="15">
        <v>Windsurf · Packs para escuelas</v>
      </c>
      <c r="E243" t="n" s="20">
        <v>1779</v>
      </c>
      <c r="F243" t="str" s="15">
        <f>IF($B$7="No","Sin IVA confirmado",IF(AND($B$7="Sí",ISNUMBER($B$3)),"IVA incluido","IVA pendiente"))</f>
        <v>IVA incluido</v>
      </c>
      <c r="G243" t="n" s="20">
        <f>IF($B$7="No",E243,IF(AND($B$7="Sí",ISNUMBER($B$3)),ROUND(E243/(1+$B$3),2),""))</f>
        <v>1470.25</v>
      </c>
      <c r="H243" t="str" s="15">
        <v>Catálogo visual escuelas windsurf, 09/10/2026, pág. 8</v>
      </c>
      <c r="I243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3" t="n" s="21">
        <v>46307</v>
      </c>
    </row>
    <row r="244" ht="122" customHeight="1">
      <c r="A244" t="str" s="22">
        <v>EX900426750</v>
      </c>
      <c r="B244" t="str" s="23">
        <v>Link V5 + Experience TR EPX · L · 5,0 m² · Blanco</v>
      </c>
      <c r="C244" t="str" s="22">
        <v>ForSchool</v>
      </c>
      <c r="D244" t="str" s="23">
        <v>Windsurf · Packs para escuelas</v>
      </c>
      <c r="E244" t="n" s="24">
        <v>1819.01</v>
      </c>
      <c r="F244" t="str" s="23">
        <f>IF($B$7="No","Sin IVA confirmado",IF(AND($B$7="Sí",ISNUMBER($B$3)),"IVA incluido","IVA pendiente"))</f>
        <v>IVA incluido</v>
      </c>
      <c r="G244" t="n" s="24">
        <f>IF($B$7="No",E244,IF(AND($B$7="Sí",ISNUMBER($B$3)),ROUND(E244/(1+$B$3),2),""))</f>
        <v>1503.31</v>
      </c>
      <c r="H244" t="str" s="23">
        <v>Catálogo visual escuelas windsurf, 09/10/2026, pág. 8</v>
      </c>
      <c r="I244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4" t="n" s="25">
        <v>46307</v>
      </c>
    </row>
    <row r="245" ht="122" customHeight="1">
      <c r="A245" t="str" s="1">
        <v>EX900426755</v>
      </c>
      <c r="B245" t="str" s="15">
        <v>Link V5 + Experience TR EPX · L · 5,5 m² · Rojo</v>
      </c>
      <c r="C245" t="str" s="1">
        <v>ForSchool</v>
      </c>
      <c r="D245" t="str" s="15">
        <v>Windsurf · Packs para escuelas</v>
      </c>
      <c r="E245" t="n" s="20">
        <v>1829</v>
      </c>
      <c r="F245" t="str" s="15">
        <f>IF($B$7="No","Sin IVA confirmado",IF(AND($B$7="Sí",ISNUMBER($B$3)),"IVA incluido","IVA pendiente"))</f>
        <v>IVA incluido</v>
      </c>
      <c r="G245" t="n" s="20">
        <f>IF($B$7="No",E245,IF(AND($B$7="Sí",ISNUMBER($B$3)),ROUND(E245/(1+$B$3),2),""))</f>
        <v>1511.57</v>
      </c>
      <c r="H245" t="str" s="15">
        <v>Catálogo visual escuelas windsurf, 09/10/2026, pág. 8</v>
      </c>
      <c r="I245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5" t="n" s="21">
        <v>46307</v>
      </c>
    </row>
    <row r="246" ht="122" customHeight="1">
      <c r="A246" t="str" s="22">
        <v>EX900424730</v>
      </c>
      <c r="B246" t="str" s="23">
        <v>Link V5 + Experience TR EPX · M · 3,0 m² · Rosa</v>
      </c>
      <c r="C246" t="str" s="22">
        <v>ForSchool</v>
      </c>
      <c r="D246" t="str" s="23">
        <v>Windsurf · Packs para escuelas</v>
      </c>
      <c r="E246" t="n" s="24">
        <v>1599</v>
      </c>
      <c r="F246" t="str" s="23">
        <f>IF($B$7="No","Sin IVA confirmado",IF(AND($B$7="Sí",ISNUMBER($B$3)),"IVA incluido","IVA pendiente"))</f>
        <v>IVA incluido</v>
      </c>
      <c r="G246" t="n" s="24">
        <f>IF($B$7="No",E246,IF(AND($B$7="Sí",ISNUMBER($B$3)),ROUND(E246/(1+$B$3),2),""))</f>
        <v>1321.49</v>
      </c>
      <c r="H246" t="str" s="23">
        <v>Catálogo visual escuelas windsurf, 09/10/2026, pág. 8</v>
      </c>
      <c r="I246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6" t="n" s="25">
        <v>46307</v>
      </c>
    </row>
    <row r="247" ht="122" customHeight="1">
      <c r="A247" t="str" s="1">
        <v>EX900424735</v>
      </c>
      <c r="B247" t="str" s="15">
        <v>Link V5 + Experience TR EPX · M · 3,5 m² · Amarillo flúor</v>
      </c>
      <c r="C247" t="str" s="1">
        <v>ForSchool</v>
      </c>
      <c r="D247" t="str" s="15">
        <v>Windsurf · Packs para escuelas</v>
      </c>
      <c r="E247" t="n" s="20">
        <v>1649</v>
      </c>
      <c r="F247" t="str" s="15">
        <f>IF($B$7="No","Sin IVA confirmado",IF(AND($B$7="Sí",ISNUMBER($B$3)),"IVA incluido","IVA pendiente"))</f>
        <v>IVA incluido</v>
      </c>
      <c r="G247" t="n" s="20">
        <f>IF($B$7="No",E247,IF(AND($B$7="Sí",ISNUMBER($B$3)),ROUND(E247/(1+$B$3),2),""))</f>
        <v>1362.81</v>
      </c>
      <c r="H247" t="str" s="15">
        <v>Catálogo visual escuelas windsurf, 09/10/2026, pág. 8</v>
      </c>
      <c r="I247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7" t="n" s="21">
        <v>46307</v>
      </c>
    </row>
    <row r="248" ht="122" customHeight="1">
      <c r="A248" t="str" s="22">
        <v>EX900424740</v>
      </c>
      <c r="B248" t="str" s="23">
        <v>Link V5 + Experience TR EPX · M · 4,0 m² · Azul claro</v>
      </c>
      <c r="C248" t="str" s="22">
        <v>ForSchool</v>
      </c>
      <c r="D248" t="str" s="23">
        <v>Windsurf · Packs para escuelas</v>
      </c>
      <c r="E248" t="n" s="24">
        <v>1679</v>
      </c>
      <c r="F248" t="str" s="23">
        <f>IF($B$7="No","Sin IVA confirmado",IF(AND($B$7="Sí",ISNUMBER($B$3)),"IVA incluido","IVA pendiente"))</f>
        <v>IVA incluido</v>
      </c>
      <c r="G248" t="n" s="24">
        <f>IF($B$7="No",E248,IF(AND($B$7="Sí",ISNUMBER($B$3)),ROUND(E248/(1+$B$3),2),""))</f>
        <v>1387.6</v>
      </c>
      <c r="H248" t="str" s="23">
        <v>Catálogo visual escuelas windsurf, 09/10/2026, pág. 8</v>
      </c>
      <c r="I248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8" t="n" s="25">
        <v>46307</v>
      </c>
    </row>
    <row r="249" ht="122" customHeight="1">
      <c r="A249" t="str" s="1">
        <v>EX900424745</v>
      </c>
      <c r="B249" t="str" s="15">
        <v>Link V5 + Experience TR EPX · M · 4,5 m² · Naranja</v>
      </c>
      <c r="C249" t="str" s="1">
        <v>ForSchool</v>
      </c>
      <c r="D249" t="str" s="15">
        <v>Windsurf · Packs para escuelas</v>
      </c>
      <c r="E249" t="n" s="20">
        <v>1709</v>
      </c>
      <c r="F249" t="str" s="15">
        <f>IF($B$7="No","Sin IVA confirmado",IF(AND($B$7="Sí",ISNUMBER($B$3)),"IVA incluido","IVA pendiente"))</f>
        <v>IVA incluido</v>
      </c>
      <c r="G249" t="n" s="20">
        <f>IF($B$7="No",E249,IF(AND($B$7="Sí",ISNUMBER($B$3)),ROUND(E249/(1+$B$3),2),""))</f>
        <v>1412.4</v>
      </c>
      <c r="H249" t="str" s="15">
        <v>Catálogo visual escuelas windsurf, 09/10/2026, pág. 8</v>
      </c>
      <c r="I249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49" t="n" s="21">
        <v>46307</v>
      </c>
    </row>
    <row r="250" ht="122" customHeight="1">
      <c r="A250" t="str" s="22">
        <v>EX900424750</v>
      </c>
      <c r="B250" t="str" s="23">
        <v>Link V5 + Experience TR EPX · M · 5,0 m² · Blanco</v>
      </c>
      <c r="C250" t="str" s="22">
        <v>ForSchool</v>
      </c>
      <c r="D250" t="str" s="23">
        <v>Windsurf · Packs para escuelas</v>
      </c>
      <c r="E250" t="n" s="24">
        <v>1739</v>
      </c>
      <c r="F250" t="str" s="23">
        <f>IF($B$7="No","Sin IVA confirmado",IF(AND($B$7="Sí",ISNUMBER($B$3)),"IVA incluido","IVA pendiente"))</f>
        <v>IVA incluido</v>
      </c>
      <c r="G250" t="n" s="24">
        <f>IF($B$7="No",E250,IF(AND($B$7="Sí",ISNUMBER($B$3)),ROUND(E250/(1+$B$3),2),""))</f>
        <v>1437.19</v>
      </c>
      <c r="H250" t="str" s="23">
        <v>Catálogo visual escuelas windsurf, 09/10/2026, pág. 8</v>
      </c>
      <c r="I250" t="str" s="23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50" t="n" s="25">
        <v>46307</v>
      </c>
    </row>
    <row r="251" ht="122" customHeight="1">
      <c r="A251" t="str" s="1">
        <v>EX900424755</v>
      </c>
      <c r="B251" t="str" s="15">
        <v>Link V5 + Experience TR EPX · M · 5,5 m² · Rojo</v>
      </c>
      <c r="C251" t="str" s="1">
        <v>ForSchool</v>
      </c>
      <c r="D251" t="str" s="15">
        <v>Windsurf · Packs para escuelas</v>
      </c>
      <c r="E251" t="n" s="20">
        <v>1759</v>
      </c>
      <c r="F251" t="str" s="15">
        <f>IF($B$7="No","Sin IVA confirmado",IF(AND($B$7="Sí",ISNUMBER($B$3)),"IVA incluido","IVA pendiente"))</f>
        <v>IVA incluido</v>
      </c>
      <c r="G251" t="n" s="20">
        <f>IF($B$7="No",E251,IF(AND($B$7="Sí",ISNUMBER($B$3)),ROUND(E251/(1+$B$3),2),""))</f>
        <v>1453.72</v>
      </c>
      <c r="H251" t="str" s="15">
        <v>Catálogo visual escuelas windsurf, 09/10/2026, pág. 8</v>
      </c>
      <c r="I251" t="str" s="15">
        <v>PVP de referencia orientativo; stock y transporte por confirmar. Tallas M/L: confirmar el volumen de la unidad. Elegir la vela según el alumno, el viento y el lugar. Base de mástil no incluida. Descuentos por cantidad sujetos a confirmación; no aplicados.</v>
      </c>
      <c r="J251" t="n" s="21">
        <v>46307</v>
      </c>
    </row>
    <row r="252" ht="149" customHeight="1">
      <c r="A252" t="str" s="22">
        <v>EX900140725</v>
      </c>
      <c r="B252" t="str" s="23">
        <v>Neon + Experience TR EPX · HP · 2,5 m²</v>
      </c>
      <c r="C252" t="str" s="22">
        <v>ForSchool</v>
      </c>
      <c r="D252" t="str" s="23">
        <v>Windsurf · Packs para escuelas</v>
      </c>
      <c r="E252" t="n" s="24">
        <v>969</v>
      </c>
      <c r="F252" t="str" s="23">
        <f>IF($B$7="No","Sin IVA confirmado",IF(AND($B$7="Sí",ISNUMBER($B$3)),"IVA incluido","IVA pendiente"))</f>
        <v>IVA incluido</v>
      </c>
      <c r="G252" t="n" s="24">
        <f>IF($B$7="No",E252,IF(AND($B$7="Sí",ISNUMBER($B$3)),ROUND(E252/(1+$B$3),2),""))</f>
        <v>800.83</v>
      </c>
      <c r="H252" t="str" s="23">
        <v>Catálogo visual escuelas windsurf, 09/10/2026, pág. 9</v>
      </c>
      <c r="I252" t="str" s="23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2" t="n" s="25">
        <v>46307</v>
      </c>
    </row>
    <row r="253" ht="149" customHeight="1">
      <c r="A253" t="str" s="1">
        <v>EX900140735</v>
      </c>
      <c r="B253" t="str" s="15">
        <v>Neon + Experience TR EPX · HP · 3,5 m²</v>
      </c>
      <c r="C253" t="str" s="1">
        <v>ForSchool</v>
      </c>
      <c r="D253" t="str" s="15">
        <v>Windsurf · Packs para escuelas</v>
      </c>
      <c r="E253" t="n" s="20">
        <v>1029</v>
      </c>
      <c r="F253" t="str" s="15">
        <f>IF($B$7="No","Sin IVA confirmado",IF(AND($B$7="Sí",ISNUMBER($B$3)),"IVA incluido","IVA pendiente"))</f>
        <v>IVA incluido</v>
      </c>
      <c r="G253" t="n" s="20">
        <f>IF($B$7="No",E253,IF(AND($B$7="Sí",ISNUMBER($B$3)),ROUND(E253/(1+$B$3),2),""))</f>
        <v>850.41</v>
      </c>
      <c r="H253" t="str" s="15">
        <v>Catálogo visual escuelas windsurf, 09/10/2026, pág. 9</v>
      </c>
      <c r="I253" t="str" s="15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3" t="n" s="21">
        <v>46307</v>
      </c>
    </row>
    <row r="254" ht="149" customHeight="1">
      <c r="A254" t="str" s="22">
        <v>EX900140745</v>
      </c>
      <c r="B254" t="str" s="23">
        <v>Neon + Experience TR EPX · HP · 4,5 m²</v>
      </c>
      <c r="C254" t="str" s="22">
        <v>ForSchool</v>
      </c>
      <c r="D254" t="str" s="23">
        <v>Windsurf · Packs para escuelas</v>
      </c>
      <c r="E254" t="n" s="24">
        <v>1089</v>
      </c>
      <c r="F254" t="str" s="23">
        <f>IF($B$7="No","Sin IVA confirmado",IF(AND($B$7="Sí",ISNUMBER($B$3)),"IVA incluido","IVA pendiente"))</f>
        <v>IVA incluido</v>
      </c>
      <c r="G254" t="n" s="24">
        <f>IF($B$7="No",E254,IF(AND($B$7="Sí",ISNUMBER($B$3)),ROUND(E254/(1+$B$3),2),""))</f>
        <v>900</v>
      </c>
      <c r="H254" t="str" s="23">
        <v>Catálogo visual escuelas windsurf, 09/10/2026, pág. 9</v>
      </c>
      <c r="I254" t="str" s="23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4" t="n" s="25">
        <v>46307</v>
      </c>
    </row>
    <row r="255" ht="149" customHeight="1">
      <c r="A255" t="str" s="1">
        <v>EX900130725</v>
      </c>
      <c r="B255" t="str" s="15">
        <v>Neon + Experience TR EPX · SL · 2,5 m²</v>
      </c>
      <c r="C255" t="str" s="1">
        <v>ForSchool</v>
      </c>
      <c r="D255" t="str" s="15">
        <v>Windsurf · Packs para escuelas</v>
      </c>
      <c r="E255" t="n" s="20">
        <v>839</v>
      </c>
      <c r="F255" t="str" s="15">
        <f>IF($B$7="No","Sin IVA confirmado",IF(AND($B$7="Sí",ISNUMBER($B$3)),"IVA incluido","IVA pendiente"))</f>
        <v>IVA incluido</v>
      </c>
      <c r="G255" t="n" s="20">
        <f>IF($B$7="No",E255,IF(AND($B$7="Sí",ISNUMBER($B$3)),ROUND(E255/(1+$B$3),2),""))</f>
        <v>693.39</v>
      </c>
      <c r="H255" t="str" s="15">
        <v>Catálogo visual escuelas windsurf, 09/10/2026, pág. 9</v>
      </c>
      <c r="I255" t="str" s="15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5" t="n" s="21">
        <v>46307</v>
      </c>
    </row>
    <row r="256" ht="149" customHeight="1">
      <c r="A256" t="str" s="22">
        <v>EX900130735</v>
      </c>
      <c r="B256" t="str" s="23">
        <v>Neon + Experience TR EPX · SL · 3,5 m²</v>
      </c>
      <c r="C256" t="str" s="22">
        <v>ForSchool</v>
      </c>
      <c r="D256" t="str" s="23">
        <v>Windsurf · Packs para escuelas</v>
      </c>
      <c r="E256" t="n" s="24">
        <v>899.01</v>
      </c>
      <c r="F256" t="str" s="23">
        <f>IF($B$7="No","Sin IVA confirmado",IF(AND($B$7="Sí",ISNUMBER($B$3)),"IVA incluido","IVA pendiente"))</f>
        <v>IVA incluido</v>
      </c>
      <c r="G256" t="n" s="24">
        <f>IF($B$7="No",E256,IF(AND($B$7="Sí",ISNUMBER($B$3)),ROUND(E256/(1+$B$3),2),""))</f>
        <v>742.98</v>
      </c>
      <c r="H256" t="str" s="23">
        <v>Catálogo visual escuelas windsurf, 09/10/2026, pág. 9</v>
      </c>
      <c r="I256" t="str" s="23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6" t="n" s="25">
        <v>46307</v>
      </c>
    </row>
    <row r="257" ht="149" customHeight="1">
      <c r="A257" t="str" s="1">
        <v>EX900130745</v>
      </c>
      <c r="B257" t="str" s="15">
        <v>Neon + Experience TR EPX · SL · 4,5 m²</v>
      </c>
      <c r="C257" t="str" s="1">
        <v>ForSchool</v>
      </c>
      <c r="D257" t="str" s="15">
        <v>Windsurf · Packs para escuelas</v>
      </c>
      <c r="E257" t="n" s="20">
        <v>949</v>
      </c>
      <c r="F257" t="str" s="15">
        <f>IF($B$7="No","Sin IVA confirmado",IF(AND($B$7="Sí",ISNUMBER($B$3)),"IVA incluido","IVA pendiente"))</f>
        <v>IVA incluido</v>
      </c>
      <c r="G257" t="n" s="20">
        <f>IF($B$7="No",E257,IF(AND($B$7="Sí",ISNUMBER($B$3)),ROUND(E257/(1+$B$3),2),""))</f>
        <v>784.3</v>
      </c>
      <c r="H257" t="str" s="15">
        <v>Catálogo visual escuelas windsurf, 09/10/2026, pág. 9</v>
      </c>
      <c r="I257" t="str" s="15">
        <v>PVP de referencia orientativo; stock y transporte por confirmar. Confirmar base, bomba, aletas y composición exacta del pack antes del pedido. No equiparar la aleta central de un hinchable con una orza retráctil. EX900130735: superficie 3,5 m² confirmada por Exocet. Descuentos por cantidad sujetos a confirmación; no aplicados.</v>
      </c>
      <c r="J257" t="n" s="21">
        <v>46307</v>
      </c>
    </row>
    <row r="258" ht="135.5" customHeight="1">
      <c r="A258" t="str" s="22">
        <v>EX010191010</v>
      </c>
      <c r="B258" t="str" s="23">
        <v>Exocet Link V5 AST · Link V5 AST M · 2026</v>
      </c>
      <c r="C258" t="str" s="22">
        <v>ForSchool</v>
      </c>
      <c r="D258" t="str" s="23">
        <v>Windsurf · Tablas de enseñanza</v>
      </c>
      <c r="E258" t="n" s="24">
        <v>1349</v>
      </c>
      <c r="F258" t="str" s="23">
        <f>IF($B$7="No","Sin IVA confirmado",IF(AND($B$7="Sí",ISNUMBER($B$3)),"IVA incluido","IVA pendiente"))</f>
        <v>IVA incluido</v>
      </c>
      <c r="G258" t="n" s="24">
        <f>IF($B$7="No",E258,IF(AND($B$7="Sí",ISNUMBER($B$3)),ROUND(E258/(1+$B$3),2),""))</f>
        <v>1114.88</v>
      </c>
      <c r="H258" t="str" s="23">
        <v>Catálogo visual escuelas windsurf, 09/10/2026, pág. 10</v>
      </c>
      <c r="I258" t="str" s="23">
        <v>PVP de referencia orientativo; stock y transporte por confirmar. Se muestra talla M/L. Los litros publicados para Link V5 difieren entre fuentes; verificar la especificación de la unidad antes del pedido. Versiones con rueda: útiles para mover material en tierra; comprobar condiciones del terreno.</v>
      </c>
      <c r="J258" t="n" s="25">
        <v>46307</v>
      </c>
    </row>
    <row r="259" ht="135.5" customHeight="1">
      <c r="A259" t="str" s="1">
        <v>EX010191020</v>
      </c>
      <c r="B259" t="str" s="15">
        <v>Exocet Link V5 AST · Link V5 AST L · 2026</v>
      </c>
      <c r="C259" t="str" s="1">
        <v>ForSchool</v>
      </c>
      <c r="D259" t="str" s="15">
        <v>Windsurf · Tablas de enseñanza</v>
      </c>
      <c r="E259" t="n" s="20">
        <v>1429</v>
      </c>
      <c r="F259" t="str" s="15">
        <f>IF($B$7="No","Sin IVA confirmado",IF(AND($B$7="Sí",ISNUMBER($B$3)),"IVA incluido","IVA pendiente"))</f>
        <v>IVA incluido</v>
      </c>
      <c r="G259" t="n" s="20">
        <f>IF($B$7="No",E259,IF(AND($B$7="Sí",ISNUMBER($B$3)),ROUND(E259/(1+$B$3),2),""))</f>
        <v>1180.99</v>
      </c>
      <c r="H259" t="str" s="15">
        <v>Catálogo visual escuelas windsurf, 09/10/2026, pág. 10</v>
      </c>
      <c r="I259" t="str" s="15">
        <v>PVP de referencia orientativo; stock y transporte por confirmar. Se muestra talla M/L. Los litros publicados para Link V5 difieren entre fuentes; verificar la especificación de la unidad antes del pedido. Versiones con rueda: útiles para mover material en tierra; comprobar condiciones del terreno.</v>
      </c>
      <c r="J259" t="n" s="21">
        <v>46307</v>
      </c>
    </row>
    <row r="260" ht="135.5" customHeight="1">
      <c r="A260" t="str" s="22">
        <v>EX010192015</v>
      </c>
      <c r="B260" t="str" s="23">
        <v>Exocet Link V5 AST · Link V5 With Wheel AST M · 2026</v>
      </c>
      <c r="C260" t="str" s="22">
        <v>ForSchool</v>
      </c>
      <c r="D260" t="str" s="23">
        <v>Windsurf · Tablas de enseñanza</v>
      </c>
      <c r="E260" t="n" s="24">
        <v>1449</v>
      </c>
      <c r="F260" t="str" s="23">
        <f>IF($B$7="No","Sin IVA confirmado",IF(AND($B$7="Sí",ISNUMBER($B$3)),"IVA incluido","IVA pendiente"))</f>
        <v>IVA incluido</v>
      </c>
      <c r="G260" t="n" s="24">
        <f>IF($B$7="No",E260,IF(AND($B$7="Sí",ISNUMBER($B$3)),ROUND(E260/(1+$B$3),2),""))</f>
        <v>1197.52</v>
      </c>
      <c r="H260" t="str" s="23">
        <v>Catálogo visual escuelas windsurf, 09/10/2026, pág. 10</v>
      </c>
      <c r="I260" t="str" s="23">
        <v>PVP de referencia orientativo; stock y transporte por confirmar. Se muestra talla M/L. Los litros publicados para Link V5 difieren entre fuentes; verificar la especificación de la unidad antes del pedido. Versiones con rueda: útiles para mover material en tierra; comprobar condiciones del terreno.</v>
      </c>
      <c r="J260" t="n" s="25">
        <v>46307</v>
      </c>
    </row>
    <row r="261" ht="135.5" customHeight="1">
      <c r="A261" t="str" s="1">
        <v>EX010192025</v>
      </c>
      <c r="B261" t="str" s="15">
        <v>Exocet Link V5 AST · Link V5 With Wheel AST L · 2026</v>
      </c>
      <c r="C261" t="str" s="1">
        <v>ForSchool</v>
      </c>
      <c r="D261" t="str" s="15">
        <v>Windsurf · Tablas de enseñanza</v>
      </c>
      <c r="E261" t="n" s="20">
        <v>1529</v>
      </c>
      <c r="F261" t="str" s="15">
        <f>IF($B$7="No","Sin IVA confirmado",IF(AND($B$7="Sí",ISNUMBER($B$3)),"IVA incluido","IVA pendiente"))</f>
        <v>IVA incluido</v>
      </c>
      <c r="G261" t="n" s="20">
        <f>IF($B$7="No",E261,IF(AND($B$7="Sí",ISNUMBER($B$3)),ROUND(E261/(1+$B$3),2),""))</f>
        <v>1263.64</v>
      </c>
      <c r="H261" t="str" s="15">
        <v>Catálogo visual escuelas windsurf, 09/10/2026, pág. 10</v>
      </c>
      <c r="I261" t="str" s="15">
        <v>PVP de referencia orientativo; stock y transporte por confirmar. Se muestra talla M/L. Los litros publicados para Link V5 difieren entre fuentes; verificar la especificación de la unidad antes del pedido. Versiones con rueda: útiles para mover material en tierra; comprobar condiciones del terreno.</v>
      </c>
      <c r="J261" t="n" s="21">
        <v>46307</v>
      </c>
    </row>
    <row r="262" ht="81.5" customHeight="1">
      <c r="A262" t="str" s="22">
        <v>UF079012250</v>
      </c>
      <c r="B262" t="str" s="23">
        <v>Unifiber Rookie II 225 · Rookie II 225 With Daggerboard</v>
      </c>
      <c r="C262" t="str" s="22">
        <v>ForSchool</v>
      </c>
      <c r="D262" t="str" s="23">
        <v>Windsurf · Tablas de enseñanza</v>
      </c>
      <c r="E262" t="n" s="24">
        <v>1199</v>
      </c>
      <c r="F262" t="str" s="23">
        <f>IF($B$7="No","Sin IVA confirmado",IF(AND($B$7="Sí",ISNUMBER($B$3)),"IVA incluido","IVA pendiente"))</f>
        <v>IVA incluido</v>
      </c>
      <c r="G262" t="n" s="24">
        <f>IF($B$7="No",E262,IF(AND($B$7="Sí",ISNUMBER($B$3)),ROUND(E262/(1+$B$3),2),""))</f>
        <v>990.91</v>
      </c>
      <c r="H262" t="str" s="23">
        <v>Catálogo visual escuelas windsurf, 09/10/2026, pág. 11</v>
      </c>
      <c r="I262" t="str" s="23">
        <v>PVP de referencia orientativo; stock y transporte por confirmar. Solo la versión 225 está en la tarifa disponible; no ofrecer 160/185 por aparecer en la web.</v>
      </c>
      <c r="J262" t="n" s="25">
        <v>46307</v>
      </c>
    </row>
    <row r="263" ht="108.5" customHeight="1">
      <c r="A263" t="str" s="1">
        <v>AR01531</v>
      </c>
      <c r="B263" t="str" s="15">
        <v>Exocet Link V4 AST · Link V4 AST S · 2025</v>
      </c>
      <c r="C263" t="str" s="1">
        <v>ForSchool</v>
      </c>
      <c r="D263" t="str" s="15">
        <v>Windsurf · Tablas de enseñanza</v>
      </c>
      <c r="E263" t="n" s="20">
        <v>999</v>
      </c>
      <c r="F263" t="str" s="15">
        <f>IF($B$7="No","Sin IVA confirmado",IF(AND($B$7="Sí",ISNUMBER($B$3)),"IVA incluido","IVA pendiente"))</f>
        <v>IVA incluido</v>
      </c>
      <c r="G263" t="n" s="20">
        <f>IF($B$7="No",E263,IF(AND($B$7="Sí",ISNUMBER($B$3)),ROUND(E263/(1+$B$3),2),""))</f>
        <v>825.62</v>
      </c>
      <c r="H263" t="str" s="15">
        <v>Catálogo visual escuelas windsurf, 09/10/2026, pág. 12</v>
      </c>
      <c r="I263" t="str" s="15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3" t="n" s="21">
        <v>46307</v>
      </c>
    </row>
    <row r="264" ht="108.5" customHeight="1">
      <c r="A264" t="str" s="22">
        <v>AR01532</v>
      </c>
      <c r="B264" t="str" s="23">
        <v>Exocet Link V4 AST · Link V4 AST M · 2025</v>
      </c>
      <c r="C264" t="str" s="22">
        <v>ForSchool</v>
      </c>
      <c r="D264" t="str" s="23">
        <v>Windsurf · Tablas de enseñanza</v>
      </c>
      <c r="E264" t="n" s="24">
        <v>1149</v>
      </c>
      <c r="F264" t="str" s="23">
        <f>IF($B$7="No","Sin IVA confirmado",IF(AND($B$7="Sí",ISNUMBER($B$3)),"IVA incluido","IVA pendiente"))</f>
        <v>IVA incluido</v>
      </c>
      <c r="G264" t="n" s="24">
        <f>IF($B$7="No",E264,IF(AND($B$7="Sí",ISNUMBER($B$3)),ROUND(E264/(1+$B$3),2),""))</f>
        <v>949.59</v>
      </c>
      <c r="H264" t="str" s="23">
        <v>Catálogo visual escuelas windsurf, 09/10/2026, pág. 12</v>
      </c>
      <c r="I264" t="str" s="23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4" t="n" s="25">
        <v>46307</v>
      </c>
    </row>
    <row r="265" ht="108.5" customHeight="1">
      <c r="A265" t="str" s="1">
        <v>AR01533</v>
      </c>
      <c r="B265" t="str" s="15">
        <v>Exocet Link V4 AST · Link V4 AST L · 2025</v>
      </c>
      <c r="C265" t="str" s="1">
        <v>ForSchool</v>
      </c>
      <c r="D265" t="str" s="15">
        <v>Windsurf · Tablas de enseñanza</v>
      </c>
      <c r="E265" t="n" s="20">
        <v>1199</v>
      </c>
      <c r="F265" t="str" s="15">
        <f>IF($B$7="No","Sin IVA confirmado",IF(AND($B$7="Sí",ISNUMBER($B$3)),"IVA incluido","IVA pendiente"))</f>
        <v>IVA incluido</v>
      </c>
      <c r="G265" t="n" s="20">
        <f>IF($B$7="No",E265,IF(AND($B$7="Sí",ISNUMBER($B$3)),ROUND(E265/(1+$B$3),2),""))</f>
        <v>990.91</v>
      </c>
      <c r="H265" t="str" s="15">
        <v>Catálogo visual escuelas windsurf, 09/10/2026, pág. 12</v>
      </c>
      <c r="I265" t="str" s="15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5" t="n" s="21">
        <v>46307</v>
      </c>
    </row>
    <row r="266" ht="108.5" customHeight="1">
      <c r="A266" t="str" s="22">
        <v>AR01534</v>
      </c>
      <c r="B266" t="str" s="23">
        <v>Exocet Link V4 AST · Link V4 AST XL · 2025</v>
      </c>
      <c r="C266" t="str" s="22">
        <v>ForSchool</v>
      </c>
      <c r="D266" t="str" s="23">
        <v>Windsurf · Tablas de enseñanza</v>
      </c>
      <c r="E266" t="n" s="24">
        <v>1249</v>
      </c>
      <c r="F266" t="str" s="23">
        <f>IF($B$7="No","Sin IVA confirmado",IF(AND($B$7="Sí",ISNUMBER($B$3)),"IVA incluido","IVA pendiente"))</f>
        <v>IVA incluido</v>
      </c>
      <c r="G266" t="n" s="24">
        <f>IF($B$7="No",E266,IF(AND($B$7="Sí",ISNUMBER($B$3)),ROUND(E266/(1+$B$3),2),""))</f>
        <v>1032.23</v>
      </c>
      <c r="H266" t="str" s="23">
        <v>Catálogo visual escuelas windsurf, 09/10/2026, pág. 12</v>
      </c>
      <c r="I266" t="str" s="23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6" t="n" s="25">
        <v>46307</v>
      </c>
    </row>
    <row r="267" ht="108.5" customHeight="1">
      <c r="A267" t="str" s="1">
        <v>AR01536</v>
      </c>
      <c r="B267" t="str" s="15">
        <v>Exocet Link V4 AST · Link V4 With Wheel AST M · 2025</v>
      </c>
      <c r="C267" t="str" s="1">
        <v>ForSchool</v>
      </c>
      <c r="D267" t="str" s="15">
        <v>Windsurf · Tablas de enseñanza</v>
      </c>
      <c r="E267" t="n" s="20">
        <v>1249</v>
      </c>
      <c r="F267" t="str" s="15">
        <f>IF($B$7="No","Sin IVA confirmado",IF(AND($B$7="Sí",ISNUMBER($B$3)),"IVA incluido","IVA pendiente"))</f>
        <v>IVA incluido</v>
      </c>
      <c r="G267" t="n" s="20">
        <f>IF($B$7="No",E267,IF(AND($B$7="Sí",ISNUMBER($B$3)),ROUND(E267/(1+$B$3),2),""))</f>
        <v>1032.23</v>
      </c>
      <c r="H267" t="str" s="15">
        <v>Catálogo visual escuelas windsurf, 09/10/2026, pág. 12</v>
      </c>
      <c r="I267" t="str" s="15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7" t="n" s="21">
        <v>46307</v>
      </c>
    </row>
    <row r="268" ht="108.5" customHeight="1">
      <c r="A268" t="str" s="22">
        <v>AR01537</v>
      </c>
      <c r="B268" t="str" s="23">
        <v>Exocet Link V4 AST · Link V4 With Wheel AST L · 2025</v>
      </c>
      <c r="C268" t="str" s="22">
        <v>ForSchool</v>
      </c>
      <c r="D268" t="str" s="23">
        <v>Windsurf · Tablas de enseñanza</v>
      </c>
      <c r="E268" t="n" s="24">
        <v>1299</v>
      </c>
      <c r="F268" t="str" s="23">
        <f>IF($B$7="No","Sin IVA confirmado",IF(AND($B$7="Sí",ISNUMBER($B$3)),"IVA incluido","IVA pendiente"))</f>
        <v>IVA incluido</v>
      </c>
      <c r="G268" t="n" s="24">
        <f>IF($B$7="No",E268,IF(AND($B$7="Sí",ISNUMBER($B$3)),ROUND(E268/(1+$B$3),2),""))</f>
        <v>1073.55</v>
      </c>
      <c r="H268" t="str" s="23">
        <v>Catálogo visual escuelas windsurf, 09/10/2026, pág. 12</v>
      </c>
      <c r="I268" t="str" s="23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8" t="n" s="25">
        <v>46307</v>
      </c>
    </row>
    <row r="269" ht="108.5" customHeight="1">
      <c r="A269" t="str" s="1">
        <v>AR01538</v>
      </c>
      <c r="B269" t="str" s="15">
        <v>Exocet Link V4 AST · Link V4 With Wheel AST XL · 2025</v>
      </c>
      <c r="C269" t="str" s="1">
        <v>ForSchool</v>
      </c>
      <c r="D269" t="str" s="15">
        <v>Windsurf · Tablas de enseñanza</v>
      </c>
      <c r="E269" t="n" s="20">
        <v>1349</v>
      </c>
      <c r="F269" t="str" s="15">
        <f>IF($B$7="No","Sin IVA confirmado",IF(AND($B$7="Sí",ISNUMBER($B$3)),"IVA incluido","IVA pendiente"))</f>
        <v>IVA incluido</v>
      </c>
      <c r="G269" t="n" s="20">
        <f>IF($B$7="No",E269,IF(AND($B$7="Sí",ISNUMBER($B$3)),ROUND(E269/(1+$B$3),2),""))</f>
        <v>1114.88</v>
      </c>
      <c r="H269" t="str" s="15">
        <v>Catálogo visual escuelas windsurf, 09/10/2026, pág. 12</v>
      </c>
      <c r="I269" t="str" s="15">
        <v>PVP de referencia orientativo; stock y transporte por confirmar. Confirmar disponibilidad y generación; no asumir stock por estar en tarifa. Publicar por talla S/M/L/XL; verificar medidas y volumen de cada unidad. Liquidación / PVP revisado.</v>
      </c>
      <c r="J269" t="n" s="21">
        <v>46307</v>
      </c>
    </row>
    <row r="270" ht="68" customHeight="1">
      <c r="A270" t="str" s="22">
        <v>EX010190030</v>
      </c>
      <c r="B270" t="str" s="23">
        <v>Exocet Nano V4 AST 155D · Nano V4 Daggerboard AST 155</v>
      </c>
      <c r="C270" t="str" s="22">
        <v>ForSchool</v>
      </c>
      <c r="D270" t="str" s="23">
        <v>Windsurf · Tablas de enseñanza</v>
      </c>
      <c r="E270" t="n" s="24">
        <v>1599</v>
      </c>
      <c r="F270" t="str" s="23">
        <f>IF($B$7="No","Sin IVA confirmado",IF(AND($B$7="Sí",ISNUMBER($B$3)),"IVA incluido","IVA pendiente"))</f>
        <v>IVA incluido</v>
      </c>
      <c r="G270" t="n" s="24">
        <f>IF($B$7="No",E270,IF(AND($B$7="Sí",ISNUMBER($B$3)),ROUND(E270/(1+$B$3),2),""))</f>
        <v>1321.49</v>
      </c>
      <c r="H270" t="str" s="23">
        <v>Catálogo visual escuelas windsurf, 09/10/2026, pág. 13</v>
      </c>
      <c r="I270" t="str" s="23">
        <v>PVP de referencia orientativo; stock y transporte por confirmar. Seleccionada únicamente la versión 155D con orza; comprobar ajuste al alumno.</v>
      </c>
      <c r="J270" t="n" s="25">
        <v>46307</v>
      </c>
    </row>
    <row r="271" ht="95" customHeight="1">
      <c r="A271" t="str" s="1">
        <v>EX020020500</v>
      </c>
      <c r="B271" t="str" s="15">
        <v>Exocet Neon SL / HP · Neon SL Inflatable Windsurf 15 PSI</v>
      </c>
      <c r="C271" t="str" s="1">
        <v>ForSchool</v>
      </c>
      <c r="D271" t="str" s="15">
        <v>Windsurf · Tablas de enseñanza</v>
      </c>
      <c r="E271" t="n" s="20">
        <v>448.99</v>
      </c>
      <c r="F271" t="str" s="15">
        <f>IF($B$7="No","Sin IVA confirmado",IF(AND($B$7="Sí",ISNUMBER($B$3)),"IVA incluido","IVA pendiente"))</f>
        <v>IVA incluido</v>
      </c>
      <c r="G271" t="n" s="20">
        <f>IF($B$7="No",E271,IF(AND($B$7="Sí",ISNUMBER($B$3)),ROUND(E271/(1+$B$3),2),""))</f>
        <v>371.07</v>
      </c>
      <c r="H271" t="str" s="15">
        <v>Catálogo visual escuelas windsurf, 09/10/2026, pág. 14</v>
      </c>
      <c r="I271" t="str" s="15">
        <v>PVP de referencia orientativo; stock y transporte por confirmar. SL: presión máxima 15 PSI. HP: presión máxima 20 PSI, según modelo. Revisar presión y aletas antes de la sesión; confirmar equipo suministrado.</v>
      </c>
      <c r="J271" t="n" s="21">
        <v>46307</v>
      </c>
    </row>
    <row r="272" ht="95" customHeight="1">
      <c r="A272" t="str" s="22">
        <v>EX020020600</v>
      </c>
      <c r="B272" t="str" s="23">
        <v>Exocet Neon SL / HP · Neon HP Inflatable Windsurf 20 PSI</v>
      </c>
      <c r="C272" t="str" s="22">
        <v>ForSchool</v>
      </c>
      <c r="D272" t="str" s="23">
        <v>Windsurf · Tablas de enseñanza</v>
      </c>
      <c r="E272" t="n" s="24">
        <v>599</v>
      </c>
      <c r="F272" t="str" s="23">
        <f>IF($B$7="No","Sin IVA confirmado",IF(AND($B$7="Sí",ISNUMBER($B$3)),"IVA incluido","IVA pendiente"))</f>
        <v>IVA incluido</v>
      </c>
      <c r="G272" t="n" s="24">
        <f>IF($B$7="No",E272,IF(AND($B$7="Sí",ISNUMBER($B$3)),ROUND(E272/(1+$B$3),2),""))</f>
        <v>495.04</v>
      </c>
      <c r="H272" t="str" s="23">
        <v>Catálogo visual escuelas windsurf, 09/10/2026, pág. 14</v>
      </c>
      <c r="I272" t="str" s="23">
        <v>PVP de referencia orientativo; stock y transporte por confirmar. SL: presión máxima 15 PSI. HP: presión máxima 20 PSI, según modelo. Revisar presión y aletas antes de la sesión; confirmar equipo suministrado.</v>
      </c>
      <c r="J272" t="n" s="25">
        <v>46307</v>
      </c>
    </row>
    <row r="273" ht="122" customHeight="1">
      <c r="A273" t="str" s="1">
        <v>XO080010010</v>
      </c>
      <c r="B273" t="str" s="15">
        <v>XO Swing Dacron ALU · 1,0 m² · Rojo</v>
      </c>
      <c r="C273" t="str" s="1">
        <v>ForSchool</v>
      </c>
      <c r="D273" t="str" s="15">
        <v>Windsurf · Aparejos completos</v>
      </c>
      <c r="E273" t="n" s="20">
        <v>309</v>
      </c>
      <c r="F273" t="str" s="15">
        <f>IF($B$7="No","Sin IVA confirmado",IF(AND($B$7="Sí",ISNUMBER($B$3)),"IVA incluido","IVA pendiente"))</f>
        <v>IVA incluido</v>
      </c>
      <c r="G273" t="n" s="20">
        <f>IF($B$7="No",E273,IF(AND($B$7="Sí",ISNUMBER($B$3)),ROUND(E273/(1+$B$3),2),""))</f>
        <v>255.37</v>
      </c>
      <c r="H273" t="str" s="15">
        <v>Catálogo visual escuelas windsurf, 09/10/2026, pág. 15</v>
      </c>
      <c r="I273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3" t="n" s="21">
        <v>46307</v>
      </c>
    </row>
    <row r="274" ht="122" customHeight="1">
      <c r="A274" t="str" s="22">
        <v>XO080010015</v>
      </c>
      <c r="B274" t="str" s="23">
        <v>XO Swing Dacron ALU · 1,5 m² · Naranja</v>
      </c>
      <c r="C274" t="str" s="22">
        <v>ForSchool</v>
      </c>
      <c r="D274" t="str" s="23">
        <v>Windsurf · Aparejos completos</v>
      </c>
      <c r="E274" t="n" s="24">
        <v>319</v>
      </c>
      <c r="F274" t="str" s="23">
        <f>IF($B$7="No","Sin IVA confirmado",IF(AND($B$7="Sí",ISNUMBER($B$3)),"IVA incluido","IVA pendiente"))</f>
        <v>IVA incluido</v>
      </c>
      <c r="G274" t="n" s="24">
        <f>IF($B$7="No",E274,IF(AND($B$7="Sí",ISNUMBER($B$3)),ROUND(E274/(1+$B$3),2),""))</f>
        <v>263.64</v>
      </c>
      <c r="H274" t="str" s="23">
        <v>Catálogo visual escuelas windsurf, 09/10/2026, pág. 15</v>
      </c>
      <c r="I274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4" t="n" s="25">
        <v>46307</v>
      </c>
    </row>
    <row r="275" ht="122" customHeight="1">
      <c r="A275" t="str" s="1">
        <v>XO080010020</v>
      </c>
      <c r="B275" t="str" s="15">
        <v>XO Swing Dacron ALU · 2,0 m² · Azul claro</v>
      </c>
      <c r="C275" t="str" s="1">
        <v>ForSchool</v>
      </c>
      <c r="D275" t="str" s="15">
        <v>Windsurf · Aparejos completos</v>
      </c>
      <c r="E275" t="n" s="20">
        <v>339.01</v>
      </c>
      <c r="F275" t="str" s="15">
        <f>IF($B$7="No","Sin IVA confirmado",IF(AND($B$7="Sí",ISNUMBER($B$3)),"IVA incluido","IVA pendiente"))</f>
        <v>IVA incluido</v>
      </c>
      <c r="G275" t="n" s="20">
        <f>IF($B$7="No",E275,IF(AND($B$7="Sí",ISNUMBER($B$3)),ROUND(E275/(1+$B$3),2),""))</f>
        <v>280.17</v>
      </c>
      <c r="H275" t="str" s="15">
        <v>Catálogo visual escuelas windsurf, 09/10/2026, pág. 15</v>
      </c>
      <c r="I275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5" t="n" s="21">
        <v>46307</v>
      </c>
    </row>
    <row r="276" ht="122" customHeight="1">
      <c r="A276" t="str" s="22">
        <v>XO080010025</v>
      </c>
      <c r="B276" t="str" s="23">
        <v>XO Swing Dacron ALU · 2,5 m² · Verde claro</v>
      </c>
      <c r="C276" t="str" s="22">
        <v>ForSchool</v>
      </c>
      <c r="D276" t="str" s="23">
        <v>Windsurf · Aparejos completos</v>
      </c>
      <c r="E276" t="n" s="24">
        <v>358.99</v>
      </c>
      <c r="F276" t="str" s="23">
        <f>IF($B$7="No","Sin IVA confirmado",IF(AND($B$7="Sí",ISNUMBER($B$3)),"IVA incluido","IVA pendiente"))</f>
        <v>IVA incluido</v>
      </c>
      <c r="G276" t="n" s="24">
        <f>IF($B$7="No",E276,IF(AND($B$7="Sí",ISNUMBER($B$3)),ROUND(E276/(1+$B$3),2),""))</f>
        <v>296.69</v>
      </c>
      <c r="H276" t="str" s="23">
        <v>Catálogo visual escuelas windsurf, 09/10/2026, pág. 15</v>
      </c>
      <c r="I276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6" t="n" s="25">
        <v>46307</v>
      </c>
    </row>
    <row r="277" ht="122" customHeight="1">
      <c r="A277" t="str" s="1">
        <v>XO080011010</v>
      </c>
      <c r="B277" t="str" s="15">
        <v>XO Swing Dacron EPX · 1,0 m² · Rojo</v>
      </c>
      <c r="C277" t="str" s="1">
        <v>ForSchool</v>
      </c>
      <c r="D277" t="str" s="15">
        <v>Windsurf · Aparejos completos</v>
      </c>
      <c r="E277" t="n" s="20">
        <v>339.01</v>
      </c>
      <c r="F277" t="str" s="15">
        <f>IF($B$7="No","Sin IVA confirmado",IF(AND($B$7="Sí",ISNUMBER($B$3)),"IVA incluido","IVA pendiente"))</f>
        <v>IVA incluido</v>
      </c>
      <c r="G277" t="n" s="20">
        <f>IF($B$7="No",E277,IF(AND($B$7="Sí",ISNUMBER($B$3)),ROUND(E277/(1+$B$3),2),""))</f>
        <v>280.17</v>
      </c>
      <c r="H277" t="str" s="15">
        <v>Catálogo visual escuelas windsurf, 09/10/2026, pág. 16</v>
      </c>
      <c r="I277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7" t="n" s="21">
        <v>46307</v>
      </c>
    </row>
    <row r="278" ht="122" customHeight="1">
      <c r="A278" t="str" s="22">
        <v>XO080011015</v>
      </c>
      <c r="B278" t="str" s="23">
        <v>XO Swing Dacron EPX · 1,5 m² · Naranja</v>
      </c>
      <c r="C278" t="str" s="22">
        <v>ForSchool</v>
      </c>
      <c r="D278" t="str" s="23">
        <v>Windsurf · Aparejos completos</v>
      </c>
      <c r="E278" t="n" s="24">
        <v>358.99</v>
      </c>
      <c r="F278" t="str" s="23">
        <f>IF($B$7="No","Sin IVA confirmado",IF(AND($B$7="Sí",ISNUMBER($B$3)),"IVA incluido","IVA pendiente"))</f>
        <v>IVA incluido</v>
      </c>
      <c r="G278" t="n" s="24">
        <f>IF($B$7="No",E278,IF(AND($B$7="Sí",ISNUMBER($B$3)),ROUND(E278/(1+$B$3),2),""))</f>
        <v>296.69</v>
      </c>
      <c r="H278" t="str" s="23">
        <v>Catálogo visual escuelas windsurf, 09/10/2026, pág. 16</v>
      </c>
      <c r="I278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8" t="n" s="25">
        <v>46307</v>
      </c>
    </row>
    <row r="279" ht="122" customHeight="1">
      <c r="A279" t="str" s="1">
        <v>XO080011020</v>
      </c>
      <c r="B279" t="str" s="15">
        <v>XO Swing Dacron EPX · 2,0 m² · Azul claro</v>
      </c>
      <c r="C279" t="str" s="1">
        <v>ForSchool</v>
      </c>
      <c r="D279" t="str" s="15">
        <v>Windsurf · Aparejos completos</v>
      </c>
      <c r="E279" t="n" s="20">
        <v>379</v>
      </c>
      <c r="F279" t="str" s="15">
        <f>IF($B$7="No","Sin IVA confirmado",IF(AND($B$7="Sí",ISNUMBER($B$3)),"IVA incluido","IVA pendiente"))</f>
        <v>IVA incluido</v>
      </c>
      <c r="G279" t="n" s="20">
        <f>IF($B$7="No",E279,IF(AND($B$7="Sí",ISNUMBER($B$3)),ROUND(E279/(1+$B$3),2),""))</f>
        <v>313.22</v>
      </c>
      <c r="H279" t="str" s="15">
        <v>Catálogo visual escuelas windsurf, 09/10/2026, pág. 16</v>
      </c>
      <c r="I279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79" t="n" s="21">
        <v>46307</v>
      </c>
    </row>
    <row r="280" ht="122" customHeight="1">
      <c r="A280" t="str" s="22">
        <v>XO080011025</v>
      </c>
      <c r="B280" t="str" s="23">
        <v>XO Swing Dacron EPX · 2,5 m² · Verde claro</v>
      </c>
      <c r="C280" t="str" s="22">
        <v>ForSchool</v>
      </c>
      <c r="D280" t="str" s="23">
        <v>Windsurf · Aparejos completos</v>
      </c>
      <c r="E280" t="n" s="24">
        <v>399</v>
      </c>
      <c r="F280" t="str" s="23">
        <f>IF($B$7="No","Sin IVA confirmado",IF(AND($B$7="Sí",ISNUMBER($B$3)),"IVA incluido","IVA pendiente"))</f>
        <v>IVA incluido</v>
      </c>
      <c r="G280" t="n" s="24">
        <f>IF($B$7="No",E280,IF(AND($B$7="Sí",ISNUMBER($B$3)),ROUND(E280/(1+$B$3),2),""))</f>
        <v>329.75</v>
      </c>
      <c r="H280" t="str" s="23">
        <v>Catálogo visual escuelas windsurf, 09/10/2026, pág. 16</v>
      </c>
      <c r="I280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0" t="n" s="25">
        <v>46307</v>
      </c>
    </row>
    <row r="281" ht="122" customHeight="1">
      <c r="A281" t="str" s="1">
        <v>XO080011030</v>
      </c>
      <c r="B281" t="str" s="15">
        <v>XO Swing Dacron EPX · 3,0 m² · Rosa</v>
      </c>
      <c r="C281" t="str" s="1">
        <v>ForSchool</v>
      </c>
      <c r="D281" t="str" s="15">
        <v>Windsurf · Aparejos completos</v>
      </c>
      <c r="E281" t="n" s="20">
        <v>409</v>
      </c>
      <c r="F281" t="str" s="15">
        <f>IF($B$7="No","Sin IVA confirmado",IF(AND($B$7="Sí",ISNUMBER($B$3)),"IVA incluido","IVA pendiente"))</f>
        <v>IVA incluido</v>
      </c>
      <c r="G281" t="n" s="20">
        <f>IF($B$7="No",E281,IF(AND($B$7="Sí",ISNUMBER($B$3)),ROUND(E281/(1+$B$3),2),""))</f>
        <v>338.02</v>
      </c>
      <c r="H281" t="str" s="15">
        <v>Catálogo visual escuelas windsurf, 09/10/2026, pág. 16</v>
      </c>
      <c r="I281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1" t="n" s="21">
        <v>46307</v>
      </c>
    </row>
    <row r="282" ht="122" customHeight="1">
      <c r="A282" t="str" s="22">
        <v>XO080011035</v>
      </c>
      <c r="B282" t="str" s="23">
        <v>XO Swing Dacron EPX · 3,5 m² · Amarillo flúor</v>
      </c>
      <c r="C282" t="str" s="22">
        <v>ForSchool</v>
      </c>
      <c r="D282" t="str" s="23">
        <v>Windsurf · Aparejos completos</v>
      </c>
      <c r="E282" t="n" s="24">
        <v>469</v>
      </c>
      <c r="F282" t="str" s="23">
        <f>IF($B$7="No","Sin IVA confirmado",IF(AND($B$7="Sí",ISNUMBER($B$3)),"IVA incluido","IVA pendiente"))</f>
        <v>IVA incluido</v>
      </c>
      <c r="G282" t="n" s="24">
        <f>IF($B$7="No",E282,IF(AND($B$7="Sí",ISNUMBER($B$3)),ROUND(E282/(1+$B$3),2),""))</f>
        <v>387.6</v>
      </c>
      <c r="H282" t="str" s="23">
        <v>Catálogo visual escuelas windsurf, 09/10/2026, pág. 16</v>
      </c>
      <c r="I282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2" t="n" s="25">
        <v>46307</v>
      </c>
    </row>
    <row r="283" ht="122" customHeight="1">
      <c r="A283" t="str" s="1">
        <v>XO080011040</v>
      </c>
      <c r="B283" t="str" s="15">
        <v>XO Swing Dacron EPX · 4,0 m² · Azul claro</v>
      </c>
      <c r="C283" t="str" s="1">
        <v>ForSchool</v>
      </c>
      <c r="D283" t="str" s="15">
        <v>Windsurf · Aparejos completos</v>
      </c>
      <c r="E283" t="n" s="20">
        <v>489</v>
      </c>
      <c r="F283" t="str" s="15">
        <f>IF($B$7="No","Sin IVA confirmado",IF(AND($B$7="Sí",ISNUMBER($B$3)),"IVA incluido","IVA pendiente"))</f>
        <v>IVA incluido</v>
      </c>
      <c r="G283" t="n" s="20">
        <f>IF($B$7="No",E283,IF(AND($B$7="Sí",ISNUMBER($B$3)),ROUND(E283/(1+$B$3),2),""))</f>
        <v>404.13</v>
      </c>
      <c r="H283" t="str" s="15">
        <v>Catálogo visual escuelas windsurf, 09/10/2026, pág. 16</v>
      </c>
      <c r="I283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3" t="n" s="21">
        <v>46307</v>
      </c>
    </row>
    <row r="284" ht="122" customHeight="1">
      <c r="A284" t="str" s="22">
        <v>XO080011045</v>
      </c>
      <c r="B284" t="str" s="23">
        <v>XO Swing Dacron EPX · 4,5 m² · Naranja</v>
      </c>
      <c r="C284" t="str" s="22">
        <v>ForSchool</v>
      </c>
      <c r="D284" t="str" s="23">
        <v>Windsurf · Aparejos completos</v>
      </c>
      <c r="E284" t="n" s="24">
        <v>509</v>
      </c>
      <c r="F284" t="str" s="23">
        <f>IF($B$7="No","Sin IVA confirmado",IF(AND($B$7="Sí",ISNUMBER($B$3)),"IVA incluido","IVA pendiente"))</f>
        <v>IVA incluido</v>
      </c>
      <c r="G284" t="n" s="24">
        <f>IF($B$7="No",E284,IF(AND($B$7="Sí",ISNUMBER($B$3)),ROUND(E284/(1+$B$3),2),""))</f>
        <v>420.66</v>
      </c>
      <c r="H284" t="str" s="23">
        <v>Catálogo visual escuelas windsurf, 09/10/2026, pág. 16</v>
      </c>
      <c r="I284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4" t="n" s="25">
        <v>46307</v>
      </c>
    </row>
    <row r="285" ht="122" customHeight="1">
      <c r="A285" t="str" s="1">
        <v>XO080011050</v>
      </c>
      <c r="B285" t="str" s="15">
        <v>XO Swing Dacron EPX · 5,0 m² · Blanco</v>
      </c>
      <c r="C285" t="str" s="1">
        <v>ForSchool</v>
      </c>
      <c r="D285" t="str" s="15">
        <v>Windsurf · Aparejos completos</v>
      </c>
      <c r="E285" t="n" s="20">
        <v>538.99</v>
      </c>
      <c r="F285" t="str" s="15">
        <f>IF($B$7="No","Sin IVA confirmado",IF(AND($B$7="Sí",ISNUMBER($B$3)),"IVA incluido","IVA pendiente"))</f>
        <v>IVA incluido</v>
      </c>
      <c r="G285" t="n" s="20">
        <f>IF($B$7="No",E285,IF(AND($B$7="Sí",ISNUMBER($B$3)),ROUND(E285/(1+$B$3),2),""))</f>
        <v>445.45</v>
      </c>
      <c r="H285" t="str" s="15">
        <v>Catálogo visual escuelas windsurf, 09/10/2026, pág. 16</v>
      </c>
      <c r="I285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5" t="n" s="21">
        <v>46307</v>
      </c>
    </row>
    <row r="286" ht="122" customHeight="1">
      <c r="A286" t="str" s="22">
        <v>XO080011055</v>
      </c>
      <c r="B286" t="str" s="23">
        <v>XO Swing Dacron EPX · 5,5 m² · Rojo</v>
      </c>
      <c r="C286" t="str" s="22">
        <v>ForSchool</v>
      </c>
      <c r="D286" t="str" s="23">
        <v>Windsurf · Aparejos completos</v>
      </c>
      <c r="E286" t="n" s="24">
        <v>549</v>
      </c>
      <c r="F286" t="str" s="23">
        <f>IF($B$7="No","Sin IVA confirmado",IF(AND($B$7="Sí",ISNUMBER($B$3)),"IVA incluido","IVA pendiente"))</f>
        <v>IVA incluido</v>
      </c>
      <c r="G286" t="n" s="24">
        <f>IF($B$7="No",E286,IF(AND($B$7="Sí",ISNUMBER($B$3)),ROUND(E286/(1+$B$3),2),""))</f>
        <v>453.72</v>
      </c>
      <c r="H286" t="str" s="23">
        <v>Catálogo visual escuelas windsurf, 09/10/2026, pág. 16</v>
      </c>
      <c r="I286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6" t="n" s="25">
        <v>46307</v>
      </c>
    </row>
    <row r="287" ht="122" customHeight="1">
      <c r="A287" t="str" s="1">
        <v>XO080020010</v>
      </c>
      <c r="B287" t="str" s="15">
        <v>XO Experience TR Dacron ALU · 1,0 m² · Rojo</v>
      </c>
      <c r="C287" t="str" s="1">
        <v>ForSchool</v>
      </c>
      <c r="D287" t="str" s="15">
        <v>Windsurf · Aparejos completos</v>
      </c>
      <c r="E287" t="n" s="20">
        <v>329</v>
      </c>
      <c r="F287" t="str" s="15">
        <f>IF($B$7="No","Sin IVA confirmado",IF(AND($B$7="Sí",ISNUMBER($B$3)),"IVA incluido","IVA pendiente"))</f>
        <v>IVA incluido</v>
      </c>
      <c r="G287" t="n" s="20">
        <f>IF($B$7="No",E287,IF(AND($B$7="Sí",ISNUMBER($B$3)),ROUND(E287/(1+$B$3),2),""))</f>
        <v>271.9</v>
      </c>
      <c r="H287" t="str" s="15">
        <v>Catálogo visual escuelas windsurf, 09/10/2026, pág. 17</v>
      </c>
      <c r="I287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7" t="n" s="21">
        <v>46307</v>
      </c>
    </row>
    <row r="288" ht="122" customHeight="1">
      <c r="A288" t="str" s="22">
        <v>XO080020015</v>
      </c>
      <c r="B288" t="str" s="23">
        <v>XO Experience TR Dacron ALU · 1,5 m² · Naranja</v>
      </c>
      <c r="C288" t="str" s="22">
        <v>ForSchool</v>
      </c>
      <c r="D288" t="str" s="23">
        <v>Windsurf · Aparejos completos</v>
      </c>
      <c r="E288" t="n" s="24">
        <v>339.01</v>
      </c>
      <c r="F288" t="str" s="23">
        <f>IF($B$7="No","Sin IVA confirmado",IF(AND($B$7="Sí",ISNUMBER($B$3)),"IVA incluido","IVA pendiente"))</f>
        <v>IVA incluido</v>
      </c>
      <c r="G288" t="n" s="24">
        <f>IF($B$7="No",E288,IF(AND($B$7="Sí",ISNUMBER($B$3)),ROUND(E288/(1+$B$3),2),""))</f>
        <v>280.17</v>
      </c>
      <c r="H288" t="str" s="23">
        <v>Catálogo visual escuelas windsurf, 09/10/2026, pág. 17</v>
      </c>
      <c r="I288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8" t="n" s="25">
        <v>46307</v>
      </c>
    </row>
    <row r="289" ht="122" customHeight="1">
      <c r="A289" t="str" s="1">
        <v>XO080020020</v>
      </c>
      <c r="B289" t="str" s="15">
        <v>XO Experience TR Dacron ALU · 2,0 m² · Azul claro</v>
      </c>
      <c r="C289" t="str" s="1">
        <v>ForSchool</v>
      </c>
      <c r="D289" t="str" s="15">
        <v>Windsurf · Aparejos completos</v>
      </c>
      <c r="E289" t="n" s="20">
        <v>358.99</v>
      </c>
      <c r="F289" t="str" s="15">
        <f>IF($B$7="No","Sin IVA confirmado",IF(AND($B$7="Sí",ISNUMBER($B$3)),"IVA incluido","IVA pendiente"))</f>
        <v>IVA incluido</v>
      </c>
      <c r="G289" t="n" s="20">
        <f>IF($B$7="No",E289,IF(AND($B$7="Sí",ISNUMBER($B$3)),ROUND(E289/(1+$B$3),2),""))</f>
        <v>296.69</v>
      </c>
      <c r="H289" t="str" s="15">
        <v>Catálogo visual escuelas windsurf, 09/10/2026, pág. 17</v>
      </c>
      <c r="I289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89" t="n" s="21">
        <v>46307</v>
      </c>
    </row>
    <row r="290" ht="122" customHeight="1">
      <c r="A290" t="str" s="22">
        <v>XO080020025</v>
      </c>
      <c r="B290" t="str" s="23">
        <v>XO Experience TR Dacron ALU · 2,5 m² · Verde claro</v>
      </c>
      <c r="C290" t="str" s="22">
        <v>ForSchool</v>
      </c>
      <c r="D290" t="str" s="23">
        <v>Windsurf · Aparejos completos</v>
      </c>
      <c r="E290" t="n" s="24">
        <v>379</v>
      </c>
      <c r="F290" t="str" s="23">
        <f>IF($B$7="No","Sin IVA confirmado",IF(AND($B$7="Sí",ISNUMBER($B$3)),"IVA incluido","IVA pendiente"))</f>
        <v>IVA incluido</v>
      </c>
      <c r="G290" t="n" s="24">
        <f>IF($B$7="No",E290,IF(AND($B$7="Sí",ISNUMBER($B$3)),ROUND(E290/(1+$B$3),2),""))</f>
        <v>313.22</v>
      </c>
      <c r="H290" t="str" s="23">
        <v>Catálogo visual escuelas windsurf, 09/10/2026, pág. 17</v>
      </c>
      <c r="I290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0" t="n" s="25">
        <v>46307</v>
      </c>
    </row>
    <row r="291" ht="122" customHeight="1">
      <c r="A291" t="str" s="1">
        <v>XO080021010</v>
      </c>
      <c r="B291" t="str" s="15">
        <v>XO Experience TR Dacron EPX · 1,0 m² · Rojo</v>
      </c>
      <c r="C291" t="str" s="1">
        <v>ForSchool</v>
      </c>
      <c r="D291" t="str" s="15">
        <v>Windsurf · Aparejos completos</v>
      </c>
      <c r="E291" t="n" s="20">
        <v>358.99</v>
      </c>
      <c r="F291" t="str" s="15">
        <f>IF($B$7="No","Sin IVA confirmado",IF(AND($B$7="Sí",ISNUMBER($B$3)),"IVA incluido","IVA pendiente"))</f>
        <v>IVA incluido</v>
      </c>
      <c r="G291" t="n" s="20">
        <f>IF($B$7="No",E291,IF(AND($B$7="Sí",ISNUMBER($B$3)),ROUND(E291/(1+$B$3),2),""))</f>
        <v>296.69</v>
      </c>
      <c r="H291" t="str" s="15">
        <v>Catálogo visual escuelas windsurf, 09/10/2026, pág. 18</v>
      </c>
      <c r="I291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1" t="n" s="21">
        <v>46307</v>
      </c>
    </row>
    <row r="292" ht="122" customHeight="1">
      <c r="A292" t="str" s="22">
        <v>XO080021015</v>
      </c>
      <c r="B292" t="str" s="23">
        <v>XO Experience TR Dacron EPX · 1,5 m² · Naranja</v>
      </c>
      <c r="C292" t="str" s="22">
        <v>ForSchool</v>
      </c>
      <c r="D292" t="str" s="23">
        <v>Windsurf · Aparejos completos</v>
      </c>
      <c r="E292" t="n" s="24">
        <v>379</v>
      </c>
      <c r="F292" t="str" s="23">
        <f>IF($B$7="No","Sin IVA confirmado",IF(AND($B$7="Sí",ISNUMBER($B$3)),"IVA incluido","IVA pendiente"))</f>
        <v>IVA incluido</v>
      </c>
      <c r="G292" t="n" s="24">
        <f>IF($B$7="No",E292,IF(AND($B$7="Sí",ISNUMBER($B$3)),ROUND(E292/(1+$B$3),2),""))</f>
        <v>313.22</v>
      </c>
      <c r="H292" t="str" s="23">
        <v>Catálogo visual escuelas windsurf, 09/10/2026, pág. 18</v>
      </c>
      <c r="I292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2" t="n" s="25">
        <v>46307</v>
      </c>
    </row>
    <row r="293" ht="122" customHeight="1">
      <c r="A293" t="str" s="1">
        <v>XO080021020</v>
      </c>
      <c r="B293" t="str" s="15">
        <v>XO Experience TR Dacron EPX · 2,0 m² · Azul claro</v>
      </c>
      <c r="C293" t="str" s="1">
        <v>ForSchool</v>
      </c>
      <c r="D293" t="str" s="15">
        <v>Windsurf · Aparejos completos</v>
      </c>
      <c r="E293" t="n" s="20">
        <v>399</v>
      </c>
      <c r="F293" t="str" s="15">
        <f>IF($B$7="No","Sin IVA confirmado",IF(AND($B$7="Sí",ISNUMBER($B$3)),"IVA incluido","IVA pendiente"))</f>
        <v>IVA incluido</v>
      </c>
      <c r="G293" t="n" s="20">
        <f>IF($B$7="No",E293,IF(AND($B$7="Sí",ISNUMBER($B$3)),ROUND(E293/(1+$B$3),2),""))</f>
        <v>329.75</v>
      </c>
      <c r="H293" t="str" s="15">
        <v>Catálogo visual escuelas windsurf, 09/10/2026, pág. 18</v>
      </c>
      <c r="I293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3" t="n" s="21">
        <v>46307</v>
      </c>
    </row>
    <row r="294" ht="122" customHeight="1">
      <c r="A294" t="str" s="22">
        <v>XO080021025</v>
      </c>
      <c r="B294" t="str" s="23">
        <v>XO Experience TR Dacron EPX · 2,5 m² · Verde claro</v>
      </c>
      <c r="C294" t="str" s="22">
        <v>ForSchool</v>
      </c>
      <c r="D294" t="str" s="23">
        <v>Windsurf · Aparejos completos</v>
      </c>
      <c r="E294" t="n" s="24">
        <v>419</v>
      </c>
      <c r="F294" t="str" s="23">
        <f>IF($B$7="No","Sin IVA confirmado",IF(AND($B$7="Sí",ISNUMBER($B$3)),"IVA incluido","IVA pendiente"))</f>
        <v>IVA incluido</v>
      </c>
      <c r="G294" t="n" s="24">
        <f>IF($B$7="No",E294,IF(AND($B$7="Sí",ISNUMBER($B$3)),ROUND(E294/(1+$B$3),2),""))</f>
        <v>346.28</v>
      </c>
      <c r="H294" t="str" s="23">
        <v>Catálogo visual escuelas windsurf, 09/10/2026, pág. 18</v>
      </c>
      <c r="I294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4" t="n" s="25">
        <v>46307</v>
      </c>
    </row>
    <row r="295" ht="122" customHeight="1">
      <c r="A295" t="str" s="1">
        <v>XO080021030</v>
      </c>
      <c r="B295" t="str" s="15">
        <v>XO Experience TR Dacron EPX · 3,0 m² · Rosa</v>
      </c>
      <c r="C295" t="str" s="1">
        <v>ForSchool</v>
      </c>
      <c r="D295" t="str" s="15">
        <v>Windsurf · Aparejos completos</v>
      </c>
      <c r="E295" t="n" s="20">
        <v>429.01</v>
      </c>
      <c r="F295" t="str" s="15">
        <f>IF($B$7="No","Sin IVA confirmado",IF(AND($B$7="Sí",ISNUMBER($B$3)),"IVA incluido","IVA pendiente"))</f>
        <v>IVA incluido</v>
      </c>
      <c r="G295" t="n" s="20">
        <f>IF($B$7="No",E295,IF(AND($B$7="Sí",ISNUMBER($B$3)),ROUND(E295/(1+$B$3),2),""))</f>
        <v>354.55</v>
      </c>
      <c r="H295" t="str" s="15">
        <v>Catálogo visual escuelas windsurf, 09/10/2026, pág. 18</v>
      </c>
      <c r="I295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5" t="n" s="21">
        <v>46307</v>
      </c>
    </row>
    <row r="296" ht="122" customHeight="1">
      <c r="A296" t="str" s="22">
        <v>XO080021035</v>
      </c>
      <c r="B296" t="str" s="23">
        <v>XO Experience TR Dacron EPX · 3,5 m² · Amarillo flúor</v>
      </c>
      <c r="C296" t="str" s="22">
        <v>ForSchool</v>
      </c>
      <c r="D296" t="str" s="23">
        <v>Windsurf · Aparejos completos</v>
      </c>
      <c r="E296" t="n" s="24">
        <v>489</v>
      </c>
      <c r="F296" t="str" s="23">
        <f>IF($B$7="No","Sin IVA confirmado",IF(AND($B$7="Sí",ISNUMBER($B$3)),"IVA incluido","IVA pendiente"))</f>
        <v>IVA incluido</v>
      </c>
      <c r="G296" t="n" s="24">
        <f>IF($B$7="No",E296,IF(AND($B$7="Sí",ISNUMBER($B$3)),ROUND(E296/(1+$B$3),2),""))</f>
        <v>404.13</v>
      </c>
      <c r="H296" t="str" s="23">
        <v>Catálogo visual escuelas windsurf, 09/10/2026, pág. 18</v>
      </c>
      <c r="I296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6" t="n" s="25">
        <v>46307</v>
      </c>
    </row>
    <row r="297" ht="122" customHeight="1">
      <c r="A297" t="str" s="1">
        <v>XO080021040</v>
      </c>
      <c r="B297" t="str" s="15">
        <v>XO Experience TR Dacron EPX · 4,0 m² · Azul claro</v>
      </c>
      <c r="C297" t="str" s="1">
        <v>ForSchool</v>
      </c>
      <c r="D297" t="str" s="15">
        <v>Windsurf · Aparejos completos</v>
      </c>
      <c r="E297" t="n" s="20">
        <v>519.01</v>
      </c>
      <c r="F297" t="str" s="15">
        <f>IF($B$7="No","Sin IVA confirmado",IF(AND($B$7="Sí",ISNUMBER($B$3)),"IVA incluido","IVA pendiente"))</f>
        <v>IVA incluido</v>
      </c>
      <c r="G297" t="n" s="20">
        <f>IF($B$7="No",E297,IF(AND($B$7="Sí",ISNUMBER($B$3)),ROUND(E297/(1+$B$3),2),""))</f>
        <v>428.93</v>
      </c>
      <c r="H297" t="str" s="15">
        <v>Catálogo visual escuelas windsurf, 09/10/2026, pág. 18</v>
      </c>
      <c r="I297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7" t="n" s="21">
        <v>46307</v>
      </c>
    </row>
    <row r="298" ht="122" customHeight="1">
      <c r="A298" t="str" s="22">
        <v>XO080021045</v>
      </c>
      <c r="B298" t="str" s="23">
        <v>XO Experience TR Dacron EPX · 4,5 m² · Naranja</v>
      </c>
      <c r="C298" t="str" s="22">
        <v>ForSchool</v>
      </c>
      <c r="D298" t="str" s="23">
        <v>Windsurf · Aparejos completos</v>
      </c>
      <c r="E298" t="n" s="24">
        <v>549</v>
      </c>
      <c r="F298" t="str" s="23">
        <f>IF($B$7="No","Sin IVA confirmado",IF(AND($B$7="Sí",ISNUMBER($B$3)),"IVA incluido","IVA pendiente"))</f>
        <v>IVA incluido</v>
      </c>
      <c r="G298" t="n" s="24">
        <f>IF($B$7="No",E298,IF(AND($B$7="Sí",ISNUMBER($B$3)),ROUND(E298/(1+$B$3),2),""))</f>
        <v>453.72</v>
      </c>
      <c r="H298" t="str" s="23">
        <v>Catálogo visual escuelas windsurf, 09/10/2026, pág. 18</v>
      </c>
      <c r="I298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8" t="n" s="25">
        <v>46307</v>
      </c>
    </row>
    <row r="299" ht="122" customHeight="1">
      <c r="A299" t="str" s="1">
        <v>XO080021050</v>
      </c>
      <c r="B299" t="str" s="15">
        <v>XO Experience TR Dacron EPX · 5,0 m² · Blanco</v>
      </c>
      <c r="C299" t="str" s="1">
        <v>ForSchool</v>
      </c>
      <c r="D299" t="str" s="15">
        <v>Windsurf · Aparejos completos</v>
      </c>
      <c r="E299" t="n" s="20">
        <v>589</v>
      </c>
      <c r="F299" t="str" s="15">
        <f>IF($B$7="No","Sin IVA confirmado",IF(AND($B$7="Sí",ISNUMBER($B$3)),"IVA incluido","IVA pendiente"))</f>
        <v>IVA incluido</v>
      </c>
      <c r="G299" t="n" s="20">
        <f>IF($B$7="No",E299,IF(AND($B$7="Sí",ISNUMBER($B$3)),ROUND(E299/(1+$B$3),2),""))</f>
        <v>486.78</v>
      </c>
      <c r="H299" t="str" s="15">
        <v>Catálogo visual escuelas windsurf, 09/10/2026, pág. 18</v>
      </c>
      <c r="I299" t="str" s="15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299" t="n" s="21">
        <v>46307</v>
      </c>
    </row>
    <row r="300" ht="122" customHeight="1">
      <c r="A300" t="str" s="22">
        <v>XO080021055</v>
      </c>
      <c r="B300" t="str" s="23">
        <v>XO Experience TR Dacron EPX · 5,5 m² · Rojo</v>
      </c>
      <c r="C300" t="str" s="22">
        <v>ForSchool</v>
      </c>
      <c r="D300" t="str" s="23">
        <v>Windsurf · Aparejos completos</v>
      </c>
      <c r="E300" t="n" s="24">
        <v>609.01</v>
      </c>
      <c r="F300" t="str" s="23">
        <f>IF($B$7="No","Sin IVA confirmado",IF(AND($B$7="Sí",ISNUMBER($B$3)),"IVA incluido","IVA pendiente"))</f>
        <v>IVA incluido</v>
      </c>
      <c r="G300" t="n" s="24">
        <f>IF($B$7="No",E300,IF(AND($B$7="Sí",ISNUMBER($B$3)),ROUND(E300/(1+$B$3),2),""))</f>
        <v>503.31</v>
      </c>
      <c r="H300" t="str" s="23">
        <v>Catálogo visual escuelas windsurf, 09/10/2026, pág. 18</v>
      </c>
      <c r="I300" t="str" s="23">
        <v>PVP de referencia orientativo; stock y transporte por confirmar. Seleccionar superficie según peso, nivel y condiciones; la edad por sí sola no determina la talla. Confirmar base de mástil y contenido antes del pedido. Descuentos por cantidad sujetos a confirmación; no aplicados.</v>
      </c>
      <c r="J300" t="n" s="25">
        <v>46307</v>
      </c>
    </row>
    <row r="301" ht="95" customHeight="1">
      <c r="A301" t="str" s="1">
        <v>XO080011047</v>
      </c>
      <c r="B301" t="str" s="15">
        <v>XO Swing EPX Compact · 4,5 m² · Naranja</v>
      </c>
      <c r="C301" t="str" s="1">
        <v>ForSchool</v>
      </c>
      <c r="D301" t="str" s="15">
        <v>Windsurf · Aparejos completos</v>
      </c>
      <c r="E301" t="n" s="20">
        <v>559</v>
      </c>
      <c r="F301" t="str" s="15">
        <f>IF($B$7="No","Sin IVA confirmado",IF(AND($B$7="Sí",ISNUMBER($B$3)),"IVA incluido","IVA pendiente"))</f>
        <v>IVA incluido</v>
      </c>
      <c r="G301" t="n" s="20">
        <f>IF($B$7="No",E301,IF(AND($B$7="Sí",ISNUMBER($B$3)),ROUND(E301/(1+$B$3),2),""))</f>
        <v>461.98</v>
      </c>
      <c r="H301" t="str" s="15">
        <v>Catálogo visual escuelas windsurf, 09/10/2026, pág. 19</v>
      </c>
      <c r="I301" t="str" s="15">
        <v>PVP de referencia orientativo; stock y transporte por confirmar. Versión Compact 4.5/5.5: confirmar contenido y compatibilidad de repuestos. Descuentos por cantidad sujetos a confirmación; no aplicados.</v>
      </c>
      <c r="J301" t="n" s="21">
        <v>46307</v>
      </c>
    </row>
    <row r="302" ht="95" customHeight="1">
      <c r="A302" t="str" s="22">
        <v>XO080011057</v>
      </c>
      <c r="B302" t="str" s="23">
        <v>XO Swing EPX Compact · 5,5 m² · Rojo</v>
      </c>
      <c r="C302" t="str" s="22">
        <v>ForSchool</v>
      </c>
      <c r="D302" t="str" s="23">
        <v>Windsurf · Aparejos completos</v>
      </c>
      <c r="E302" t="n" s="24">
        <v>589</v>
      </c>
      <c r="F302" t="str" s="23">
        <f>IF($B$7="No","Sin IVA confirmado",IF(AND($B$7="Sí",ISNUMBER($B$3)),"IVA incluido","IVA pendiente"))</f>
        <v>IVA incluido</v>
      </c>
      <c r="G302" t="n" s="24">
        <f>IF($B$7="No",E302,IF(AND($B$7="Sí",ISNUMBER($B$3)),ROUND(E302/(1+$B$3),2),""))</f>
        <v>486.78</v>
      </c>
      <c r="H302" t="str" s="23">
        <v>Catálogo visual escuelas windsurf, 09/10/2026, pág. 19</v>
      </c>
      <c r="I302" t="str" s="23">
        <v>PVP de referencia orientativo; stock y transporte por confirmar. Versión Compact 4.5/5.5: confirmar contenido y compatibilidad de repuestos. Descuentos por cantidad sujetos a confirmación; no aplicados.</v>
      </c>
      <c r="J302" t="n" s="25">
        <v>46307</v>
      </c>
    </row>
    <row r="303" ht="95" customHeight="1">
      <c r="A303" t="str" s="1">
        <v>XO080030010</v>
      </c>
      <c r="B303" t="str" s="15">
        <v>XO Rookie Monofilm ALU / EPX · ALU · 1,0 m²</v>
      </c>
      <c r="C303" t="str" s="1">
        <v>ForSchool</v>
      </c>
      <c r="D303" t="str" s="15">
        <v>Windsurf · Aparejos completos</v>
      </c>
      <c r="E303" t="n" s="20">
        <v>339.01</v>
      </c>
      <c r="F303" t="str" s="15">
        <f>IF($B$7="No","Sin IVA confirmado",IF(AND($B$7="Sí",ISNUMBER($B$3)),"IVA incluido","IVA pendiente"))</f>
        <v>IVA incluido</v>
      </c>
      <c r="G303" t="n" s="20">
        <f>IF($B$7="No",E303,IF(AND($B$7="Sí",ISNUMBER($B$3)),ROUND(E303/(1+$B$3),2),""))</f>
        <v>280.17</v>
      </c>
      <c r="H303" t="str" s="15">
        <v>Catálogo visual escuelas windsurf, 09/10/2026, pág. 20</v>
      </c>
      <c r="I303" t="str" s="15">
        <v>PVP de referencia orientativo; stock y transporte por confirmar. Monofilm: reservar para progresión; Dacron sigue siendo la selección base de iniciación. Descuentos por cantidad sujetos a confirmación; no aplicados.</v>
      </c>
      <c r="J303" t="n" s="21">
        <v>46307</v>
      </c>
    </row>
    <row r="304" ht="95" customHeight="1">
      <c r="A304" t="str" s="22">
        <v>XO080030015</v>
      </c>
      <c r="B304" t="str" s="23">
        <v>XO Rookie Monofilm ALU / EPX · ALU · 1,5 m²</v>
      </c>
      <c r="C304" t="str" s="22">
        <v>ForSchool</v>
      </c>
      <c r="D304" t="str" s="23">
        <v>Windsurf · Aparejos completos</v>
      </c>
      <c r="E304" t="n" s="24">
        <v>349</v>
      </c>
      <c r="F304" t="str" s="23">
        <f>IF($B$7="No","Sin IVA confirmado",IF(AND($B$7="Sí",ISNUMBER($B$3)),"IVA incluido","IVA pendiente"))</f>
        <v>IVA incluido</v>
      </c>
      <c r="G304" t="n" s="24">
        <f>IF($B$7="No",E304,IF(AND($B$7="Sí",ISNUMBER($B$3)),ROUND(E304/(1+$B$3),2),""))</f>
        <v>288.43</v>
      </c>
      <c r="H304" t="str" s="23">
        <v>Catálogo visual escuelas windsurf, 09/10/2026, pág. 20</v>
      </c>
      <c r="I304" t="str" s="23">
        <v>PVP de referencia orientativo; stock y transporte por confirmar. Monofilm: reservar para progresión; Dacron sigue siendo la selección base de iniciación. Descuentos por cantidad sujetos a confirmación; no aplicados.</v>
      </c>
      <c r="J304" t="n" s="25">
        <v>46307</v>
      </c>
    </row>
    <row r="305" ht="95" customHeight="1">
      <c r="A305" t="str" s="1">
        <v>XO080030020</v>
      </c>
      <c r="B305" t="str" s="15">
        <v>XO Rookie Monofilm ALU / EPX · ALU · 2,0 m²</v>
      </c>
      <c r="C305" t="str" s="1">
        <v>ForSchool</v>
      </c>
      <c r="D305" t="str" s="15">
        <v>Windsurf · Aparejos completos</v>
      </c>
      <c r="E305" t="n" s="20">
        <v>369</v>
      </c>
      <c r="F305" t="str" s="15">
        <f>IF($B$7="No","Sin IVA confirmado",IF(AND($B$7="Sí",ISNUMBER($B$3)),"IVA incluido","IVA pendiente"))</f>
        <v>IVA incluido</v>
      </c>
      <c r="G305" t="n" s="20">
        <f>IF($B$7="No",E305,IF(AND($B$7="Sí",ISNUMBER($B$3)),ROUND(E305/(1+$B$3),2),""))</f>
        <v>304.96</v>
      </c>
      <c r="H305" t="str" s="15">
        <v>Catálogo visual escuelas windsurf, 09/10/2026, pág. 20</v>
      </c>
      <c r="I305" t="str" s="15">
        <v>PVP de referencia orientativo; stock y transporte por confirmar. Monofilm: reservar para progresión; Dacron sigue siendo la selección base de iniciación. Descuentos por cantidad sujetos a confirmación; no aplicados.</v>
      </c>
      <c r="J305" t="n" s="21">
        <v>46307</v>
      </c>
    </row>
    <row r="306" ht="95" customHeight="1">
      <c r="A306" t="str" s="22">
        <v>XO080030025</v>
      </c>
      <c r="B306" t="str" s="23">
        <v>XO Rookie Monofilm ALU / EPX · ALU · 2,5 m²</v>
      </c>
      <c r="C306" t="str" s="22">
        <v>ForSchool</v>
      </c>
      <c r="D306" t="str" s="23">
        <v>Windsurf · Aparejos completos</v>
      </c>
      <c r="E306" t="n" s="24">
        <v>389</v>
      </c>
      <c r="F306" t="str" s="23">
        <f>IF($B$7="No","Sin IVA confirmado",IF(AND($B$7="Sí",ISNUMBER($B$3)),"IVA incluido","IVA pendiente"))</f>
        <v>IVA incluido</v>
      </c>
      <c r="G306" t="n" s="24">
        <f>IF($B$7="No",E306,IF(AND($B$7="Sí",ISNUMBER($B$3)),ROUND(E306/(1+$B$3),2),""))</f>
        <v>321.49</v>
      </c>
      <c r="H306" t="str" s="23">
        <v>Catálogo visual escuelas windsurf, 09/10/2026, pág. 20</v>
      </c>
      <c r="I306" t="str" s="23">
        <v>PVP de referencia orientativo; stock y transporte por confirmar. Monofilm: reservar para progresión; Dacron sigue siendo la selección base de iniciación. Descuentos por cantidad sujetos a confirmación; no aplicados.</v>
      </c>
      <c r="J306" t="n" s="25">
        <v>46307</v>
      </c>
    </row>
    <row r="307" ht="95" customHeight="1">
      <c r="A307" t="str" s="1">
        <v>XO080031010</v>
      </c>
      <c r="B307" t="str" s="15">
        <v>XO Rookie Monofilm ALU / EPX · EPX · 1,0 m²</v>
      </c>
      <c r="C307" t="str" s="1">
        <v>ForSchool</v>
      </c>
      <c r="D307" t="str" s="15">
        <v>Windsurf · Aparejos completos</v>
      </c>
      <c r="E307" t="n" s="20">
        <v>369</v>
      </c>
      <c r="F307" t="str" s="15">
        <f>IF($B$7="No","Sin IVA confirmado",IF(AND($B$7="Sí",ISNUMBER($B$3)),"IVA incluido","IVA pendiente"))</f>
        <v>IVA incluido</v>
      </c>
      <c r="G307" t="n" s="20">
        <f>IF($B$7="No",E307,IF(AND($B$7="Sí",ISNUMBER($B$3)),ROUND(E307/(1+$B$3),2),""))</f>
        <v>304.96</v>
      </c>
      <c r="H307" t="str" s="15">
        <v>Catálogo visual escuelas windsurf, 09/10/2026, pág. 20</v>
      </c>
      <c r="I307" t="str" s="15">
        <v>PVP de referencia orientativo; stock y transporte por confirmar. Monofilm: reservar para progresión; Dacron sigue siendo la selección base de iniciación. Descuentos por cantidad sujetos a confirmación; no aplicados.</v>
      </c>
      <c r="J307" t="n" s="21">
        <v>46307</v>
      </c>
    </row>
    <row r="308" ht="95" customHeight="1">
      <c r="A308" t="str" s="22">
        <v>XO080031015</v>
      </c>
      <c r="B308" t="str" s="23">
        <v>XO Rookie Monofilm ALU / EPX · EPX · 1,5 m²</v>
      </c>
      <c r="C308" t="str" s="22">
        <v>ForSchool</v>
      </c>
      <c r="D308" t="str" s="23">
        <v>Windsurf · Aparejos completos</v>
      </c>
      <c r="E308" t="n" s="24">
        <v>389</v>
      </c>
      <c r="F308" t="str" s="23">
        <f>IF($B$7="No","Sin IVA confirmado",IF(AND($B$7="Sí",ISNUMBER($B$3)),"IVA incluido","IVA pendiente"))</f>
        <v>IVA incluido</v>
      </c>
      <c r="G308" t="n" s="24">
        <f>IF($B$7="No",E308,IF(AND($B$7="Sí",ISNUMBER($B$3)),ROUND(E308/(1+$B$3),2),""))</f>
        <v>321.49</v>
      </c>
      <c r="H308" t="str" s="23">
        <v>Catálogo visual escuelas windsurf, 09/10/2026, pág. 20</v>
      </c>
      <c r="I308" t="str" s="23">
        <v>PVP de referencia orientativo; stock y transporte por confirmar. Monofilm: reservar para progresión; Dacron sigue siendo la selección base de iniciación. Descuentos por cantidad sujetos a confirmación; no aplicados.</v>
      </c>
      <c r="J308" t="n" s="25">
        <v>46307</v>
      </c>
    </row>
    <row r="309" ht="95" customHeight="1">
      <c r="A309" t="str" s="1">
        <v>XO080031020</v>
      </c>
      <c r="B309" t="str" s="15">
        <v>XO Rookie Monofilm ALU / EPX · EPX · 2,0 m²</v>
      </c>
      <c r="C309" t="str" s="1">
        <v>ForSchool</v>
      </c>
      <c r="D309" t="str" s="15">
        <v>Windsurf · Aparejos completos</v>
      </c>
      <c r="E309" t="n" s="20">
        <v>409</v>
      </c>
      <c r="F309" t="str" s="15">
        <f>IF($B$7="No","Sin IVA confirmado",IF(AND($B$7="Sí",ISNUMBER($B$3)),"IVA incluido","IVA pendiente"))</f>
        <v>IVA incluido</v>
      </c>
      <c r="G309" t="n" s="20">
        <f>IF($B$7="No",E309,IF(AND($B$7="Sí",ISNUMBER($B$3)),ROUND(E309/(1+$B$3),2),""))</f>
        <v>338.02</v>
      </c>
      <c r="H309" t="str" s="15">
        <v>Catálogo visual escuelas windsurf, 09/10/2026, pág. 20</v>
      </c>
      <c r="I309" t="str" s="15">
        <v>PVP de referencia orientativo; stock y transporte por confirmar. Monofilm: reservar para progresión; Dacron sigue siendo la selección base de iniciación. Descuentos por cantidad sujetos a confirmación; no aplicados.</v>
      </c>
      <c r="J309" t="n" s="21">
        <v>46307</v>
      </c>
    </row>
    <row r="310" ht="95" customHeight="1">
      <c r="A310" t="str" s="22">
        <v>XO080031025</v>
      </c>
      <c r="B310" t="str" s="23">
        <v>XO Rookie Monofilm ALU / EPX · EPX · 2,5 m²</v>
      </c>
      <c r="C310" t="str" s="22">
        <v>ForSchool</v>
      </c>
      <c r="D310" t="str" s="23">
        <v>Windsurf · Aparejos completos</v>
      </c>
      <c r="E310" t="n" s="24">
        <v>429.01</v>
      </c>
      <c r="F310" t="str" s="23">
        <f>IF($B$7="No","Sin IVA confirmado",IF(AND($B$7="Sí",ISNUMBER($B$3)),"IVA incluido","IVA pendiente"))</f>
        <v>IVA incluido</v>
      </c>
      <c r="G310" t="n" s="24">
        <f>IF($B$7="No",E310,IF(AND($B$7="Sí",ISNUMBER($B$3)),ROUND(E310/(1+$B$3),2),""))</f>
        <v>354.55</v>
      </c>
      <c r="H310" t="str" s="23">
        <v>Catálogo visual escuelas windsurf, 09/10/2026, pág. 20</v>
      </c>
      <c r="I310" t="str" s="23">
        <v>PVP de referencia orientativo; stock y transporte por confirmar. Monofilm: reservar para progresión; Dacron sigue siendo la selección base de iniciación. Descuentos por cantidad sujetos a confirmación; no aplicados.</v>
      </c>
      <c r="J310" t="n" s="25">
        <v>46307</v>
      </c>
    </row>
    <row r="311" ht="95" customHeight="1">
      <c r="A311" t="str" s="1">
        <v>XO080031030</v>
      </c>
      <c r="B311" t="str" s="15">
        <v>XO Rookie Monofilm ALU / EPX · EPX · 3,0 m²</v>
      </c>
      <c r="C311" t="str" s="1">
        <v>ForSchool</v>
      </c>
      <c r="D311" t="str" s="15">
        <v>Windsurf · Aparejos completos</v>
      </c>
      <c r="E311" t="n" s="20">
        <v>439</v>
      </c>
      <c r="F311" t="str" s="15">
        <f>IF($B$7="No","Sin IVA confirmado",IF(AND($B$7="Sí",ISNUMBER($B$3)),"IVA incluido","IVA pendiente"))</f>
        <v>IVA incluido</v>
      </c>
      <c r="G311" t="n" s="20">
        <f>IF($B$7="No",E311,IF(AND($B$7="Sí",ISNUMBER($B$3)),ROUND(E311/(1+$B$3),2),""))</f>
        <v>362.81</v>
      </c>
      <c r="H311" t="str" s="15">
        <v>Catálogo visual escuelas windsurf, 09/10/2026, pág. 20</v>
      </c>
      <c r="I311" t="str" s="15">
        <v>PVP de referencia orientativo; stock y transporte por confirmar. Monofilm: reservar para progresión; Dacron sigue siendo la selección base de iniciación. Descuentos por cantidad sujetos a confirmación; no aplicados.</v>
      </c>
      <c r="J311" t="n" s="21">
        <v>46307</v>
      </c>
    </row>
    <row r="312" ht="95" customHeight="1">
      <c r="A312" t="str" s="22">
        <v>XO080031035</v>
      </c>
      <c r="B312" t="str" s="23">
        <v>XO Rookie Monofilm ALU / EPX · EPX · 3,5 m²</v>
      </c>
      <c r="C312" t="str" s="22">
        <v>ForSchool</v>
      </c>
      <c r="D312" t="str" s="23">
        <v>Windsurf · Aparejos completos</v>
      </c>
      <c r="E312" t="n" s="24">
        <v>499</v>
      </c>
      <c r="F312" t="str" s="23">
        <f>IF($B$7="No","Sin IVA confirmado",IF(AND($B$7="Sí",ISNUMBER($B$3)),"IVA incluido","IVA pendiente"))</f>
        <v>IVA incluido</v>
      </c>
      <c r="G312" t="n" s="24">
        <f>IF($B$7="No",E312,IF(AND($B$7="Sí",ISNUMBER($B$3)),ROUND(E312/(1+$B$3),2),""))</f>
        <v>412.4</v>
      </c>
      <c r="H312" t="str" s="23">
        <v>Catálogo visual escuelas windsurf, 09/10/2026, pág. 20</v>
      </c>
      <c r="I312" t="str" s="23">
        <v>PVP de referencia orientativo; stock y transporte por confirmar. Monofilm: reservar para progresión; Dacron sigue siendo la selección base de iniciación. Descuentos por cantidad sujetos a confirmación; no aplicados.</v>
      </c>
      <c r="J312" t="n" s="25">
        <v>46307</v>
      </c>
    </row>
    <row r="313" ht="95" customHeight="1">
      <c r="A313" t="str" s="1">
        <v>XO101010010</v>
      </c>
      <c r="B313" t="str" s="15">
        <v>XO Swing Dacron · 1,0 m² · Rojo</v>
      </c>
      <c r="C313" t="str" s="1">
        <v>ForSchool</v>
      </c>
      <c r="D313" t="str" s="15">
        <v>Windsurf · Velas de reposición</v>
      </c>
      <c r="E313" t="n" s="20">
        <v>139</v>
      </c>
      <c r="F313" t="str" s="15">
        <f>IF($B$7="No","Sin IVA confirmado",IF(AND($B$7="Sí",ISNUMBER($B$3)),"IVA incluido","IVA pendiente"))</f>
        <v>IVA incluido</v>
      </c>
      <c r="G313" t="n" s="20">
        <f>IF($B$7="No",E313,IF(AND($B$7="Sí",ISNUMBER($B$3)),ROUND(E313/(1+$B$3),2),""))</f>
        <v>114.88</v>
      </c>
      <c r="H313" t="str" s="15">
        <v>Catálogo visual escuelas windsurf, 09/10/2026, pág. 21</v>
      </c>
      <c r="I313" t="str" s="15">
        <v>PVP de referencia orientativo; stock y transporte por confirmar. Se suministra sin bolsa de vela según tarifa. Verificar longitud de mástil, curva, diámetro y botavara antes de combinar componentes.</v>
      </c>
      <c r="J313" t="n" s="21">
        <v>46307</v>
      </c>
    </row>
    <row r="314" ht="95" customHeight="1">
      <c r="A314" t="str" s="22">
        <v>XO101010015</v>
      </c>
      <c r="B314" t="str" s="23">
        <v>XO Swing Dacron · 1,5 m² · Naranja</v>
      </c>
      <c r="C314" t="str" s="22">
        <v>ForSchool</v>
      </c>
      <c r="D314" t="str" s="23">
        <v>Windsurf · Velas de reposición</v>
      </c>
      <c r="E314" t="n" s="24">
        <v>149</v>
      </c>
      <c r="F314" t="str" s="23">
        <f>IF($B$7="No","Sin IVA confirmado",IF(AND($B$7="Sí",ISNUMBER($B$3)),"IVA incluido","IVA pendiente"))</f>
        <v>IVA incluido</v>
      </c>
      <c r="G314" t="n" s="24">
        <f>IF($B$7="No",E314,IF(AND($B$7="Sí",ISNUMBER($B$3)),ROUND(E314/(1+$B$3),2),""))</f>
        <v>123.14</v>
      </c>
      <c r="H314" t="str" s="23">
        <v>Catálogo visual escuelas windsurf, 09/10/2026, pág. 21</v>
      </c>
      <c r="I314" t="str" s="23">
        <v>PVP de referencia orientativo; stock y transporte por confirmar. Se suministra sin bolsa de vela según tarifa. Verificar longitud de mástil, curva, diámetro y botavara antes de combinar componentes.</v>
      </c>
      <c r="J314" t="n" s="25">
        <v>46307</v>
      </c>
    </row>
    <row r="315" ht="95" customHeight="1">
      <c r="A315" t="str" s="1">
        <v>XO101010020</v>
      </c>
      <c r="B315" t="str" s="15">
        <v>XO Swing Dacron · 2,0 m² · Azul claro</v>
      </c>
      <c r="C315" t="str" s="1">
        <v>ForSchool</v>
      </c>
      <c r="D315" t="str" s="15">
        <v>Windsurf · Velas de reposición</v>
      </c>
      <c r="E315" t="n" s="20">
        <v>159.01</v>
      </c>
      <c r="F315" t="str" s="15">
        <f>IF($B$7="No","Sin IVA confirmado",IF(AND($B$7="Sí",ISNUMBER($B$3)),"IVA incluido","IVA pendiente"))</f>
        <v>IVA incluido</v>
      </c>
      <c r="G315" t="n" s="20">
        <f>IF($B$7="No",E315,IF(AND($B$7="Sí",ISNUMBER($B$3)),ROUND(E315/(1+$B$3),2),""))</f>
        <v>131.41</v>
      </c>
      <c r="H315" t="str" s="15">
        <v>Catálogo visual escuelas windsurf, 09/10/2026, pág. 21</v>
      </c>
      <c r="I315" t="str" s="15">
        <v>PVP de referencia orientativo; stock y transporte por confirmar. Se suministra sin bolsa de vela según tarifa. Verificar longitud de mástil, curva, diámetro y botavara antes de combinar componentes.</v>
      </c>
      <c r="J315" t="n" s="21">
        <v>46307</v>
      </c>
    </row>
    <row r="316" ht="95" customHeight="1">
      <c r="A316" t="str" s="22">
        <v>XO101010030</v>
      </c>
      <c r="B316" t="str" s="23">
        <v>XO Swing Dacron · 2,5 m² · Verde claro</v>
      </c>
      <c r="C316" t="str" s="22">
        <v>ForSchool</v>
      </c>
      <c r="D316" t="str" s="23">
        <v>Windsurf · Velas de reposición</v>
      </c>
      <c r="E316" t="n" s="24">
        <v>169</v>
      </c>
      <c r="F316" t="str" s="23">
        <f>IF($B$7="No","Sin IVA confirmado",IF(AND($B$7="Sí",ISNUMBER($B$3)),"IVA incluido","IVA pendiente"))</f>
        <v>IVA incluido</v>
      </c>
      <c r="G316" t="n" s="24">
        <f>IF($B$7="No",E316,IF(AND($B$7="Sí",ISNUMBER($B$3)),ROUND(E316/(1+$B$3),2),""))</f>
        <v>139.67</v>
      </c>
      <c r="H316" t="str" s="23">
        <v>Catálogo visual escuelas windsurf, 09/10/2026, pág. 21</v>
      </c>
      <c r="I316" t="str" s="23">
        <v>PVP de referencia orientativo; stock y transporte por confirmar. Se suministra sin bolsa de vela según tarifa. Verificar longitud de mástil, curva, diámetro y botavara antes de combinar componentes.</v>
      </c>
      <c r="J316" t="n" s="25">
        <v>46307</v>
      </c>
    </row>
    <row r="317" ht="95" customHeight="1">
      <c r="A317" t="str" s="1">
        <v>XO101010040</v>
      </c>
      <c r="B317" t="str" s="15">
        <v>XO Swing Dacron · 3,0 m² · Rosa</v>
      </c>
      <c r="C317" t="str" s="1">
        <v>ForSchool</v>
      </c>
      <c r="D317" t="str" s="15">
        <v>Windsurf · Velas de reposición</v>
      </c>
      <c r="E317" t="n" s="20">
        <v>179</v>
      </c>
      <c r="F317" t="str" s="15">
        <f>IF($B$7="No","Sin IVA confirmado",IF(AND($B$7="Sí",ISNUMBER($B$3)),"IVA incluido","IVA pendiente"))</f>
        <v>IVA incluido</v>
      </c>
      <c r="G317" t="n" s="20">
        <f>IF($B$7="No",E317,IF(AND($B$7="Sí",ISNUMBER($B$3)),ROUND(E317/(1+$B$3),2),""))</f>
        <v>147.93</v>
      </c>
      <c r="H317" t="str" s="15">
        <v>Catálogo visual escuelas windsurf, 09/10/2026, pág. 21</v>
      </c>
      <c r="I317" t="str" s="15">
        <v>PVP de referencia orientativo; stock y transporte por confirmar. Se suministra sin bolsa de vela según tarifa. Verificar longitud de mástil, curva, diámetro y botavara antes de combinar componentes.</v>
      </c>
      <c r="J317" t="n" s="21">
        <v>46307</v>
      </c>
    </row>
    <row r="318" ht="95" customHeight="1">
      <c r="A318" t="str" s="22">
        <v>XO101010050</v>
      </c>
      <c r="B318" t="str" s="23">
        <v>XO Swing Dacron · 3,5 m² · Amarillo flúor</v>
      </c>
      <c r="C318" t="str" s="22">
        <v>ForSchool</v>
      </c>
      <c r="D318" t="str" s="23">
        <v>Windsurf · Velas de reposición</v>
      </c>
      <c r="E318" t="n" s="24">
        <v>189</v>
      </c>
      <c r="F318" t="str" s="23">
        <f>IF($B$7="No","Sin IVA confirmado",IF(AND($B$7="Sí",ISNUMBER($B$3)),"IVA incluido","IVA pendiente"))</f>
        <v>IVA incluido</v>
      </c>
      <c r="G318" t="n" s="24">
        <f>IF($B$7="No",E318,IF(AND($B$7="Sí",ISNUMBER($B$3)),ROUND(E318/(1+$B$3),2),""))</f>
        <v>156.2</v>
      </c>
      <c r="H318" t="str" s="23">
        <v>Catálogo visual escuelas windsurf, 09/10/2026, pág. 21</v>
      </c>
      <c r="I318" t="str" s="23">
        <v>PVP de referencia orientativo; stock y transporte por confirmar. Se suministra sin bolsa de vela según tarifa. Verificar longitud de mástil, curva, diámetro y botavara antes de combinar componentes.</v>
      </c>
      <c r="J318" t="n" s="25">
        <v>46307</v>
      </c>
    </row>
    <row r="319" ht="95" customHeight="1">
      <c r="A319" t="str" s="1">
        <v>XO101010060</v>
      </c>
      <c r="B319" t="str" s="15">
        <v>XO Swing Dacron · 4,0 m² · Azul claro</v>
      </c>
      <c r="C319" t="str" s="1">
        <v>ForSchool</v>
      </c>
      <c r="D319" t="str" s="15">
        <v>Windsurf · Velas de reposición</v>
      </c>
      <c r="E319" t="n" s="20">
        <v>199</v>
      </c>
      <c r="F319" t="str" s="15">
        <f>IF($B$7="No","Sin IVA confirmado",IF(AND($B$7="Sí",ISNUMBER($B$3)),"IVA incluido","IVA pendiente"))</f>
        <v>IVA incluido</v>
      </c>
      <c r="G319" t="n" s="20">
        <f>IF($B$7="No",E319,IF(AND($B$7="Sí",ISNUMBER($B$3)),ROUND(E319/(1+$B$3),2),""))</f>
        <v>164.46</v>
      </c>
      <c r="H319" t="str" s="15">
        <v>Catálogo visual escuelas windsurf, 09/10/2026, pág. 21</v>
      </c>
      <c r="I319" t="str" s="15">
        <v>PVP de referencia orientativo; stock y transporte por confirmar. Se suministra sin bolsa de vela según tarifa. Verificar longitud de mástil, curva, diámetro y botavara antes de combinar componentes.</v>
      </c>
      <c r="J319" t="n" s="21">
        <v>46307</v>
      </c>
    </row>
    <row r="320" ht="95" customHeight="1">
      <c r="A320" t="str" s="22">
        <v>XO101010070</v>
      </c>
      <c r="B320" t="str" s="23">
        <v>XO Swing Dacron · 4,5 m² · Naranja</v>
      </c>
      <c r="C320" t="str" s="22">
        <v>ForSchool</v>
      </c>
      <c r="D320" t="str" s="23">
        <v>Windsurf · Velas de reposición</v>
      </c>
      <c r="E320" t="n" s="24">
        <v>209</v>
      </c>
      <c r="F320" t="str" s="23">
        <f>IF($B$7="No","Sin IVA confirmado",IF(AND($B$7="Sí",ISNUMBER($B$3)),"IVA incluido","IVA pendiente"))</f>
        <v>IVA incluido</v>
      </c>
      <c r="G320" t="n" s="24">
        <f>IF($B$7="No",E320,IF(AND($B$7="Sí",ISNUMBER($B$3)),ROUND(E320/(1+$B$3),2),""))</f>
        <v>172.73</v>
      </c>
      <c r="H320" t="str" s="23">
        <v>Catálogo visual escuelas windsurf, 09/10/2026, pág. 21</v>
      </c>
      <c r="I320" t="str" s="23">
        <v>PVP de referencia orientativo; stock y transporte por confirmar. Se suministra sin bolsa de vela según tarifa. Verificar longitud de mástil, curva, diámetro y botavara antes de combinar componentes.</v>
      </c>
      <c r="J320" t="n" s="25">
        <v>46307</v>
      </c>
    </row>
    <row r="321" ht="95" customHeight="1">
      <c r="A321" t="str" s="1">
        <v>XO101010080</v>
      </c>
      <c r="B321" t="str" s="15">
        <v>XO Swing Dacron · 5,0 m² · Blanco</v>
      </c>
      <c r="C321" t="str" s="1">
        <v>ForSchool</v>
      </c>
      <c r="D321" t="str" s="15">
        <v>Windsurf · Velas de reposición</v>
      </c>
      <c r="E321" t="n" s="20">
        <v>219</v>
      </c>
      <c r="F321" t="str" s="15">
        <f>IF($B$7="No","Sin IVA confirmado",IF(AND($B$7="Sí",ISNUMBER($B$3)),"IVA incluido","IVA pendiente"))</f>
        <v>IVA incluido</v>
      </c>
      <c r="G321" t="n" s="20">
        <f>IF($B$7="No",E321,IF(AND($B$7="Sí",ISNUMBER($B$3)),ROUND(E321/(1+$B$3),2),""))</f>
        <v>180.99</v>
      </c>
      <c r="H321" t="str" s="15">
        <v>Catálogo visual escuelas windsurf, 09/10/2026, pág. 21</v>
      </c>
      <c r="I321" t="str" s="15">
        <v>PVP de referencia orientativo; stock y transporte por confirmar. Se suministra sin bolsa de vela según tarifa. Verificar longitud de mástil, curva, diámetro y botavara antes de combinar componentes.</v>
      </c>
      <c r="J321" t="n" s="21">
        <v>46307</v>
      </c>
    </row>
    <row r="322" ht="95" customHeight="1">
      <c r="A322" t="str" s="22">
        <v>XO101010090</v>
      </c>
      <c r="B322" t="str" s="23">
        <v>XO Swing Dacron · 5,5 m² · Rojo</v>
      </c>
      <c r="C322" t="str" s="22">
        <v>ForSchool</v>
      </c>
      <c r="D322" t="str" s="23">
        <v>Windsurf · Velas de reposición</v>
      </c>
      <c r="E322" t="n" s="24">
        <v>229</v>
      </c>
      <c r="F322" t="str" s="23">
        <f>IF($B$7="No","Sin IVA confirmado",IF(AND($B$7="Sí",ISNUMBER($B$3)),"IVA incluido","IVA pendiente"))</f>
        <v>IVA incluido</v>
      </c>
      <c r="G322" t="n" s="24">
        <f>IF($B$7="No",E322,IF(AND($B$7="Sí",ISNUMBER($B$3)),ROUND(E322/(1+$B$3),2),""))</f>
        <v>189.26</v>
      </c>
      <c r="H322" t="str" s="23">
        <v>Catálogo visual escuelas windsurf, 09/10/2026, pág. 21</v>
      </c>
      <c r="I322" t="str" s="23">
        <v>PVP de referencia orientativo; stock y transporte por confirmar. Se suministra sin bolsa de vela según tarifa. Verificar longitud de mástil, curva, diámetro y botavara antes de combinar componentes.</v>
      </c>
      <c r="J322" t="n" s="25">
        <v>46307</v>
      </c>
    </row>
    <row r="323" ht="95" customHeight="1">
      <c r="A323" t="str" s="1">
        <v>XO101011010</v>
      </c>
      <c r="B323" t="str" s="15">
        <v>XO Experience TR Dacron · 1,0 m² · Rojo</v>
      </c>
      <c r="C323" t="str" s="1">
        <v>ForSchool</v>
      </c>
      <c r="D323" t="str" s="15">
        <v>Windsurf · Velas de reposición</v>
      </c>
      <c r="E323" t="n" s="20">
        <v>159.01</v>
      </c>
      <c r="F323" t="str" s="15">
        <f>IF($B$7="No","Sin IVA confirmado",IF(AND($B$7="Sí",ISNUMBER($B$3)),"IVA incluido","IVA pendiente"))</f>
        <v>IVA incluido</v>
      </c>
      <c r="G323" t="n" s="20">
        <f>IF($B$7="No",E323,IF(AND($B$7="Sí",ISNUMBER($B$3)),ROUND(E323/(1+$B$3),2),""))</f>
        <v>131.41</v>
      </c>
      <c r="H323" t="str" s="15">
        <v>Catálogo visual escuelas windsurf, 09/10/2026, pág. 22</v>
      </c>
      <c r="I323" t="str" s="15">
        <v>PVP de referencia orientativo; stock y transporte por confirmar. Se suministra sin bolsa de vela según tarifa. Verificar longitud de mástil, curva, diámetro y botavara antes de combinar componentes.</v>
      </c>
      <c r="J323" t="n" s="21">
        <v>46307</v>
      </c>
    </row>
    <row r="324" ht="95" customHeight="1">
      <c r="A324" t="str" s="22">
        <v>XO101011015</v>
      </c>
      <c r="B324" t="str" s="23">
        <v>XO Experience TR Dacron · 1,5 m² · Naranja</v>
      </c>
      <c r="C324" t="str" s="22">
        <v>ForSchool</v>
      </c>
      <c r="D324" t="str" s="23">
        <v>Windsurf · Velas de reposición</v>
      </c>
      <c r="E324" t="n" s="24">
        <v>169</v>
      </c>
      <c r="F324" t="str" s="23">
        <f>IF($B$7="No","Sin IVA confirmado",IF(AND($B$7="Sí",ISNUMBER($B$3)),"IVA incluido","IVA pendiente"))</f>
        <v>IVA incluido</v>
      </c>
      <c r="G324" t="n" s="24">
        <f>IF($B$7="No",E324,IF(AND($B$7="Sí",ISNUMBER($B$3)),ROUND(E324/(1+$B$3),2),""))</f>
        <v>139.67</v>
      </c>
      <c r="H324" t="str" s="23">
        <v>Catálogo visual escuelas windsurf, 09/10/2026, pág. 22</v>
      </c>
      <c r="I324" t="str" s="23">
        <v>PVP de referencia orientativo; stock y transporte por confirmar. Se suministra sin bolsa de vela según tarifa. Verificar longitud de mástil, curva, diámetro y botavara antes de combinar componentes.</v>
      </c>
      <c r="J324" t="n" s="25">
        <v>46307</v>
      </c>
    </row>
    <row r="325" ht="95" customHeight="1">
      <c r="A325" t="str" s="1">
        <v>XO101011020</v>
      </c>
      <c r="B325" t="str" s="15">
        <v>XO Experience TR Dacron · 2,0 m² · Azul claro</v>
      </c>
      <c r="C325" t="str" s="1">
        <v>ForSchool</v>
      </c>
      <c r="D325" t="str" s="15">
        <v>Windsurf · Velas de reposición</v>
      </c>
      <c r="E325" t="n" s="20">
        <v>179</v>
      </c>
      <c r="F325" t="str" s="15">
        <f>IF($B$7="No","Sin IVA confirmado",IF(AND($B$7="Sí",ISNUMBER($B$3)),"IVA incluido","IVA pendiente"))</f>
        <v>IVA incluido</v>
      </c>
      <c r="G325" t="n" s="20">
        <f>IF($B$7="No",E325,IF(AND($B$7="Sí",ISNUMBER($B$3)),ROUND(E325/(1+$B$3),2),""))</f>
        <v>147.93</v>
      </c>
      <c r="H325" t="str" s="15">
        <v>Catálogo visual escuelas windsurf, 09/10/2026, pág. 22</v>
      </c>
      <c r="I325" t="str" s="15">
        <v>PVP de referencia orientativo; stock y transporte por confirmar. Se suministra sin bolsa de vela según tarifa. Verificar longitud de mástil, curva, diámetro y botavara antes de combinar componentes.</v>
      </c>
      <c r="J325" t="n" s="21">
        <v>46307</v>
      </c>
    </row>
    <row r="326" ht="95" customHeight="1">
      <c r="A326" t="str" s="22">
        <v>XO101011030</v>
      </c>
      <c r="B326" t="str" s="23">
        <v>XO Experience TR Dacron · 2,5 m² · Verde claro</v>
      </c>
      <c r="C326" t="str" s="22">
        <v>ForSchool</v>
      </c>
      <c r="D326" t="str" s="23">
        <v>Windsurf · Velas de reposición</v>
      </c>
      <c r="E326" t="n" s="24">
        <v>189</v>
      </c>
      <c r="F326" t="str" s="23">
        <f>IF($B$7="No","Sin IVA confirmado",IF(AND($B$7="Sí",ISNUMBER($B$3)),"IVA incluido","IVA pendiente"))</f>
        <v>IVA incluido</v>
      </c>
      <c r="G326" t="n" s="24">
        <f>IF($B$7="No",E326,IF(AND($B$7="Sí",ISNUMBER($B$3)),ROUND(E326/(1+$B$3),2),""))</f>
        <v>156.2</v>
      </c>
      <c r="H326" t="str" s="23">
        <v>Catálogo visual escuelas windsurf, 09/10/2026, pág. 22</v>
      </c>
      <c r="I326" t="str" s="23">
        <v>PVP de referencia orientativo; stock y transporte por confirmar. Se suministra sin bolsa de vela según tarifa. Verificar longitud de mástil, curva, diámetro y botavara antes de combinar componentes.</v>
      </c>
      <c r="J326" t="n" s="25">
        <v>46307</v>
      </c>
    </row>
    <row r="327" ht="95" customHeight="1">
      <c r="A327" t="str" s="1">
        <v>XO101011040</v>
      </c>
      <c r="B327" t="str" s="15">
        <v>XO Experience TR Dacron · 3,0 m² · Rosa</v>
      </c>
      <c r="C327" t="str" s="1">
        <v>ForSchool</v>
      </c>
      <c r="D327" t="str" s="15">
        <v>Windsurf · Velas de reposición</v>
      </c>
      <c r="E327" t="n" s="20">
        <v>199</v>
      </c>
      <c r="F327" t="str" s="15">
        <f>IF($B$7="No","Sin IVA confirmado",IF(AND($B$7="Sí",ISNUMBER($B$3)),"IVA incluido","IVA pendiente"))</f>
        <v>IVA incluido</v>
      </c>
      <c r="G327" t="n" s="20">
        <f>IF($B$7="No",E327,IF(AND($B$7="Sí",ISNUMBER($B$3)),ROUND(E327/(1+$B$3),2),""))</f>
        <v>164.46</v>
      </c>
      <c r="H327" t="str" s="15">
        <v>Catálogo visual escuelas windsurf, 09/10/2026, pág. 22</v>
      </c>
      <c r="I327" t="str" s="15">
        <v>PVP de referencia orientativo; stock y transporte por confirmar. Se suministra sin bolsa de vela según tarifa. Verificar longitud de mástil, curva, diámetro y botavara antes de combinar componentes.</v>
      </c>
      <c r="J327" t="n" s="21">
        <v>46307</v>
      </c>
    </row>
    <row r="328" ht="95" customHeight="1">
      <c r="A328" t="str" s="22">
        <v>XO101011050</v>
      </c>
      <c r="B328" t="str" s="23">
        <v>XO Experience TR Dacron · 3,5 m² · Amarillo flúor</v>
      </c>
      <c r="C328" t="str" s="22">
        <v>ForSchool</v>
      </c>
      <c r="D328" t="str" s="23">
        <v>Windsurf · Velas de reposición</v>
      </c>
      <c r="E328" t="n" s="24">
        <v>209</v>
      </c>
      <c r="F328" t="str" s="23">
        <f>IF($B$7="No","Sin IVA confirmado",IF(AND($B$7="Sí",ISNUMBER($B$3)),"IVA incluido","IVA pendiente"))</f>
        <v>IVA incluido</v>
      </c>
      <c r="G328" t="n" s="24">
        <f>IF($B$7="No",E328,IF(AND($B$7="Sí",ISNUMBER($B$3)),ROUND(E328/(1+$B$3),2),""))</f>
        <v>172.73</v>
      </c>
      <c r="H328" t="str" s="23">
        <v>Catálogo visual escuelas windsurf, 09/10/2026, pág. 22</v>
      </c>
      <c r="I328" t="str" s="23">
        <v>PVP de referencia orientativo; stock y transporte por confirmar. Se suministra sin bolsa de vela según tarifa. Verificar longitud de mástil, curva, diámetro y botavara antes de combinar componentes.</v>
      </c>
      <c r="J328" t="n" s="25">
        <v>46307</v>
      </c>
    </row>
    <row r="329" ht="95" customHeight="1">
      <c r="A329" t="str" s="1">
        <v>XO101011060</v>
      </c>
      <c r="B329" t="str" s="15">
        <v>XO Experience TR Dacron · 4,0 m² · Azul claro</v>
      </c>
      <c r="C329" t="str" s="1">
        <v>ForSchool</v>
      </c>
      <c r="D329" t="str" s="15">
        <v>Windsurf · Velas de reposición</v>
      </c>
      <c r="E329" t="n" s="20">
        <v>229</v>
      </c>
      <c r="F329" t="str" s="15">
        <f>IF($B$7="No","Sin IVA confirmado",IF(AND($B$7="Sí",ISNUMBER($B$3)),"IVA incluido","IVA pendiente"))</f>
        <v>IVA incluido</v>
      </c>
      <c r="G329" t="n" s="20">
        <f>IF($B$7="No",E329,IF(AND($B$7="Sí",ISNUMBER($B$3)),ROUND(E329/(1+$B$3),2),""))</f>
        <v>189.26</v>
      </c>
      <c r="H329" t="str" s="15">
        <v>Catálogo visual escuelas windsurf, 09/10/2026, pág. 22</v>
      </c>
      <c r="I329" t="str" s="15">
        <v>PVP de referencia orientativo; stock y transporte por confirmar. Se suministra sin bolsa de vela según tarifa. Verificar longitud de mástil, curva, diámetro y botavara antes de combinar componentes.</v>
      </c>
      <c r="J329" t="n" s="21">
        <v>46307</v>
      </c>
    </row>
    <row r="330" ht="95" customHeight="1">
      <c r="A330" t="str" s="22">
        <v>XO101011070</v>
      </c>
      <c r="B330" t="str" s="23">
        <v>XO Experience TR Dacron · 4,5 m² · Naranja</v>
      </c>
      <c r="C330" t="str" s="22">
        <v>ForSchool</v>
      </c>
      <c r="D330" t="str" s="23">
        <v>Windsurf · Velas de reposición</v>
      </c>
      <c r="E330" t="n" s="24">
        <v>249.01</v>
      </c>
      <c r="F330" t="str" s="23">
        <f>IF($B$7="No","Sin IVA confirmado",IF(AND($B$7="Sí",ISNUMBER($B$3)),"IVA incluido","IVA pendiente"))</f>
        <v>IVA incluido</v>
      </c>
      <c r="G330" t="n" s="24">
        <f>IF($B$7="No",E330,IF(AND($B$7="Sí",ISNUMBER($B$3)),ROUND(E330/(1+$B$3),2),""))</f>
        <v>205.79</v>
      </c>
      <c r="H330" t="str" s="23">
        <v>Catálogo visual escuelas windsurf, 09/10/2026, pág. 22</v>
      </c>
      <c r="I330" t="str" s="23">
        <v>PVP de referencia orientativo; stock y transporte por confirmar. Se suministra sin bolsa de vela según tarifa. Verificar longitud de mástil, curva, diámetro y botavara antes de combinar componentes.</v>
      </c>
      <c r="J330" t="n" s="25">
        <v>46307</v>
      </c>
    </row>
    <row r="331" ht="95" customHeight="1">
      <c r="A331" t="str" s="1">
        <v>XO101011080</v>
      </c>
      <c r="B331" t="str" s="15">
        <v>XO Experience TR Dacron · 5,0 m² · Blanco</v>
      </c>
      <c r="C331" t="str" s="1">
        <v>ForSchool</v>
      </c>
      <c r="D331" t="str" s="15">
        <v>Windsurf · Velas de reposición</v>
      </c>
      <c r="E331" t="n" s="20">
        <v>269</v>
      </c>
      <c r="F331" t="str" s="15">
        <f>IF($B$7="No","Sin IVA confirmado",IF(AND($B$7="Sí",ISNUMBER($B$3)),"IVA incluido","IVA pendiente"))</f>
        <v>IVA incluido</v>
      </c>
      <c r="G331" t="n" s="20">
        <f>IF($B$7="No",E331,IF(AND($B$7="Sí",ISNUMBER($B$3)),ROUND(E331/(1+$B$3),2),""))</f>
        <v>222.31</v>
      </c>
      <c r="H331" t="str" s="15">
        <v>Catálogo visual escuelas windsurf, 09/10/2026, pág. 22</v>
      </c>
      <c r="I331" t="str" s="15">
        <v>PVP de referencia orientativo; stock y transporte por confirmar. Se suministra sin bolsa de vela según tarifa. Verificar longitud de mástil, curva, diámetro y botavara antes de combinar componentes.</v>
      </c>
      <c r="J331" t="n" s="21">
        <v>46307</v>
      </c>
    </row>
    <row r="332" ht="95" customHeight="1">
      <c r="A332" t="str" s="22">
        <v>XO101011090</v>
      </c>
      <c r="B332" t="str" s="23">
        <v>XO Experience TR Dacron · 5,5 m² · Rojo</v>
      </c>
      <c r="C332" t="str" s="22">
        <v>ForSchool</v>
      </c>
      <c r="D332" t="str" s="23">
        <v>Windsurf · Velas de reposición</v>
      </c>
      <c r="E332" t="n" s="24">
        <v>289</v>
      </c>
      <c r="F332" t="str" s="23">
        <f>IF($B$7="No","Sin IVA confirmado",IF(AND($B$7="Sí",ISNUMBER($B$3)),"IVA incluido","IVA pendiente"))</f>
        <v>IVA incluido</v>
      </c>
      <c r="G332" t="n" s="24">
        <f>IF($B$7="No",E332,IF(AND($B$7="Sí",ISNUMBER($B$3)),ROUND(E332/(1+$B$3),2),""))</f>
        <v>238.84</v>
      </c>
      <c r="H332" t="str" s="23">
        <v>Catálogo visual escuelas windsurf, 09/10/2026, pág. 22</v>
      </c>
      <c r="I332" t="str" s="23">
        <v>PVP de referencia orientativo; stock y transporte por confirmar. Se suministra sin bolsa de vela según tarifa. Verificar longitud de mástil, curva, diámetro y botavara antes de combinar componentes.</v>
      </c>
      <c r="J332" t="n" s="25">
        <v>46307</v>
      </c>
    </row>
    <row r="333" ht="95" customHeight="1">
      <c r="A333" t="str" s="1">
        <v>XO101011299</v>
      </c>
      <c r="B333" t="str" s="15">
        <v>XO Rookie Monofilm · 1,0 m²</v>
      </c>
      <c r="C333" t="str" s="1">
        <v>ForSchool</v>
      </c>
      <c r="D333" t="str" s="15">
        <v>Windsurf · Velas de reposición</v>
      </c>
      <c r="E333" t="n" s="20">
        <v>169</v>
      </c>
      <c r="F333" t="str" s="15">
        <f>IF($B$7="No","Sin IVA confirmado",IF(AND($B$7="Sí",ISNUMBER($B$3)),"IVA incluido","IVA pendiente"))</f>
        <v>IVA incluido</v>
      </c>
      <c r="G333" t="n" s="20">
        <f>IF($B$7="No",E333,IF(AND($B$7="Sí",ISNUMBER($B$3)),ROUND(E333/(1+$B$3),2),""))</f>
        <v>139.67</v>
      </c>
      <c r="H333" t="str" s="15">
        <v>Catálogo visual escuelas windsurf, 09/10/2026, pág. 23</v>
      </c>
      <c r="I333" t="str" s="15">
        <v>PVP de referencia orientativo; stock y transporte por confirmar. Se suministra sin bolsa de vela según tarifa. Verificar longitud de mástil, curva, diámetro y botavara antes de combinar componentes.</v>
      </c>
      <c r="J333" t="n" s="21">
        <v>46307</v>
      </c>
    </row>
    <row r="334" ht="95" customHeight="1">
      <c r="A334" t="str" s="22">
        <v>XO101011301</v>
      </c>
      <c r="B334" t="str" s="23">
        <v>XO Rookie Monofilm · 1,5 m²</v>
      </c>
      <c r="C334" t="str" s="22">
        <v>ForSchool</v>
      </c>
      <c r="D334" t="str" s="23">
        <v>Windsurf · Velas de reposición</v>
      </c>
      <c r="E334" t="n" s="24">
        <v>179</v>
      </c>
      <c r="F334" t="str" s="23">
        <f>IF($B$7="No","Sin IVA confirmado",IF(AND($B$7="Sí",ISNUMBER($B$3)),"IVA incluido","IVA pendiente"))</f>
        <v>IVA incluido</v>
      </c>
      <c r="G334" t="n" s="24">
        <f>IF($B$7="No",E334,IF(AND($B$7="Sí",ISNUMBER($B$3)),ROUND(E334/(1+$B$3),2),""))</f>
        <v>147.93</v>
      </c>
      <c r="H334" t="str" s="23">
        <v>Catálogo visual escuelas windsurf, 09/10/2026, pág. 23</v>
      </c>
      <c r="I334" t="str" s="23">
        <v>PVP de referencia orientativo; stock y transporte por confirmar. Se suministra sin bolsa de vela según tarifa. Verificar longitud de mástil, curva, diámetro y botavara antes de combinar componentes.</v>
      </c>
      <c r="J334" t="n" s="25">
        <v>46307</v>
      </c>
    </row>
    <row r="335" ht="95" customHeight="1">
      <c r="A335" t="str" s="1">
        <v>XO101011303</v>
      </c>
      <c r="B335" t="str" s="15">
        <v>XO Rookie Monofilm · 2,0 m²</v>
      </c>
      <c r="C335" t="str" s="1">
        <v>ForSchool</v>
      </c>
      <c r="D335" t="str" s="15">
        <v>Windsurf · Velas de reposición</v>
      </c>
      <c r="E335" t="n" s="20">
        <v>189</v>
      </c>
      <c r="F335" t="str" s="15">
        <f>IF($B$7="No","Sin IVA confirmado",IF(AND($B$7="Sí",ISNUMBER($B$3)),"IVA incluido","IVA pendiente"))</f>
        <v>IVA incluido</v>
      </c>
      <c r="G335" t="n" s="20">
        <f>IF($B$7="No",E335,IF(AND($B$7="Sí",ISNUMBER($B$3)),ROUND(E335/(1+$B$3),2),""))</f>
        <v>156.2</v>
      </c>
      <c r="H335" t="str" s="15">
        <v>Catálogo visual escuelas windsurf, 09/10/2026, pág. 23</v>
      </c>
      <c r="I335" t="str" s="15">
        <v>PVP de referencia orientativo; stock y transporte por confirmar. Se suministra sin bolsa de vela según tarifa. Verificar longitud de mástil, curva, diámetro y botavara antes de combinar componentes.</v>
      </c>
      <c r="J335" t="n" s="21">
        <v>46307</v>
      </c>
    </row>
    <row r="336" ht="95" customHeight="1">
      <c r="A336" t="str" s="22">
        <v>XO101011305</v>
      </c>
      <c r="B336" t="str" s="23">
        <v>XO Rookie Monofilm · 2,5 m²</v>
      </c>
      <c r="C336" t="str" s="22">
        <v>ForSchool</v>
      </c>
      <c r="D336" t="str" s="23">
        <v>Windsurf · Velas de reposición</v>
      </c>
      <c r="E336" t="n" s="24">
        <v>199</v>
      </c>
      <c r="F336" t="str" s="23">
        <f>IF($B$7="No","Sin IVA confirmado",IF(AND($B$7="Sí",ISNUMBER($B$3)),"IVA incluido","IVA pendiente"))</f>
        <v>IVA incluido</v>
      </c>
      <c r="G336" t="n" s="24">
        <f>IF($B$7="No",E336,IF(AND($B$7="Sí",ISNUMBER($B$3)),ROUND(E336/(1+$B$3),2),""))</f>
        <v>164.46</v>
      </c>
      <c r="H336" t="str" s="23">
        <v>Catálogo visual escuelas windsurf, 09/10/2026, pág. 23</v>
      </c>
      <c r="I336" t="str" s="23">
        <v>PVP de referencia orientativo; stock y transporte por confirmar. Se suministra sin bolsa de vela según tarifa. Verificar longitud de mástil, curva, diámetro y botavara antes de combinar componentes.</v>
      </c>
      <c r="J336" t="n" s="25">
        <v>46307</v>
      </c>
    </row>
    <row r="337" ht="95" customHeight="1">
      <c r="A337" t="str" s="1">
        <v>XO101011307</v>
      </c>
      <c r="B337" t="str" s="15">
        <v>XO Rookie Monofilm · 3,0 m²</v>
      </c>
      <c r="C337" t="str" s="1">
        <v>ForSchool</v>
      </c>
      <c r="D337" t="str" s="15">
        <v>Windsurf · Velas de reposición</v>
      </c>
      <c r="E337" t="n" s="20">
        <v>209</v>
      </c>
      <c r="F337" t="str" s="15">
        <f>IF($B$7="No","Sin IVA confirmado",IF(AND($B$7="Sí",ISNUMBER($B$3)),"IVA incluido","IVA pendiente"))</f>
        <v>IVA incluido</v>
      </c>
      <c r="G337" t="n" s="20">
        <f>IF($B$7="No",E337,IF(AND($B$7="Sí",ISNUMBER($B$3)),ROUND(E337/(1+$B$3),2),""))</f>
        <v>172.73</v>
      </c>
      <c r="H337" t="str" s="15">
        <v>Catálogo visual escuelas windsurf, 09/10/2026, pág. 23</v>
      </c>
      <c r="I337" t="str" s="15">
        <v>PVP de referencia orientativo; stock y transporte por confirmar. Se suministra sin bolsa de vela según tarifa. Verificar longitud de mástil, curva, diámetro y botavara antes de combinar componentes.</v>
      </c>
      <c r="J337" t="n" s="21">
        <v>46307</v>
      </c>
    </row>
    <row r="338" ht="95" customHeight="1">
      <c r="A338" t="str" s="22">
        <v>XO101011309</v>
      </c>
      <c r="B338" t="str" s="23">
        <v>XO Rookie Monofilm · 3,5 m²</v>
      </c>
      <c r="C338" t="str" s="22">
        <v>ForSchool</v>
      </c>
      <c r="D338" t="str" s="23">
        <v>Windsurf · Velas de reposición</v>
      </c>
      <c r="E338" t="n" s="24">
        <v>219</v>
      </c>
      <c r="F338" t="str" s="23">
        <f>IF($B$7="No","Sin IVA confirmado",IF(AND($B$7="Sí",ISNUMBER($B$3)),"IVA incluido","IVA pendiente"))</f>
        <v>IVA incluido</v>
      </c>
      <c r="G338" t="n" s="24">
        <f>IF($B$7="No",E338,IF(AND($B$7="Sí",ISNUMBER($B$3)),ROUND(E338/(1+$B$3),2),""))</f>
        <v>180.99</v>
      </c>
      <c r="H338" t="str" s="23">
        <v>Catálogo visual escuelas windsurf, 09/10/2026, pág. 23</v>
      </c>
      <c r="I338" t="str" s="23">
        <v>PVP de referencia orientativo; stock y transporte por confirmar. Se suministra sin bolsa de vela según tarifa. Verificar longitud de mástil, curva, diámetro y botavara antes de combinar componentes.</v>
      </c>
      <c r="J338" t="n" s="25">
        <v>46307</v>
      </c>
    </row>
    <row r="339" ht="68" customHeight="1">
      <c r="A339" t="str" s="1">
        <v>UF016000010</v>
      </c>
      <c r="B339" t="str" s="15">
        <v>Unifiber Aluminium JR · Aluminium JR 110 - 150</v>
      </c>
      <c r="C339" t="str" s="1">
        <v>ForSchool</v>
      </c>
      <c r="D339" t="str" s="15">
        <v>Windsurf · Componentes de aparejo</v>
      </c>
      <c r="E339" t="n" s="20">
        <v>109</v>
      </c>
      <c r="F339" t="str" s="15">
        <f>IF($B$7="No","Sin IVA confirmado",IF(AND($B$7="Sí",ISNUMBER($B$3)),"IVA incluido","IVA pendiente"))</f>
        <v>IVA incluido</v>
      </c>
      <c r="G339" t="n" s="20">
        <f>IF($B$7="No",E339,IF(AND($B$7="Sí",ISNUMBER($B$3)),ROUND(E339/(1+$B$3),2),""))</f>
        <v>90.08</v>
      </c>
      <c r="H339" t="str" s="15">
        <v>Catálogo visual escuelas windsurf, 09/10/2026, pág. 24</v>
      </c>
      <c r="I339" t="str" s="15">
        <v>PVP de referencia orientativo; stock y transporte por confirmar. Comprobar diámetro de mástil y longitud de botavara requerida por la vela.</v>
      </c>
      <c r="J339" t="n" s="21">
        <v>46307</v>
      </c>
    </row>
    <row r="340" ht="68" customHeight="1">
      <c r="A340" t="str" s="22">
        <v>UF016000020</v>
      </c>
      <c r="B340" t="str" s="23">
        <v>Unifiber Aluminium JR · Aluminium JR 140 - 190</v>
      </c>
      <c r="C340" t="str" s="22">
        <v>ForSchool</v>
      </c>
      <c r="D340" t="str" s="23">
        <v>Windsurf · Componentes de aparejo</v>
      </c>
      <c r="E340" t="n" s="24">
        <v>129</v>
      </c>
      <c r="F340" t="str" s="23">
        <f>IF($B$7="No","Sin IVA confirmado",IF(AND($B$7="Sí",ISNUMBER($B$3)),"IVA incluido","IVA pendiente"))</f>
        <v>IVA incluido</v>
      </c>
      <c r="G340" t="n" s="24">
        <f>IF($B$7="No",E340,IF(AND($B$7="Sí",ISNUMBER($B$3)),ROUND(E340/(1+$B$3),2),""))</f>
        <v>106.61</v>
      </c>
      <c r="H340" t="str" s="23">
        <v>Catálogo visual escuelas windsurf, 09/10/2026, pág. 24</v>
      </c>
      <c r="I340" t="str" s="23">
        <v>PVP de referencia orientativo; stock y transporte por confirmar. Comprobar diámetro de mástil y longitud de botavara requerida por la vela.</v>
      </c>
      <c r="J340" t="n" s="25">
        <v>46307</v>
      </c>
    </row>
    <row r="341" ht="68" customHeight="1">
      <c r="A341" t="str" s="1">
        <v>UF012010030</v>
      </c>
      <c r="B341" t="str" s="15">
        <v>Unifiber Essentials Alloy · Essentials Alloy Boom 140-190 - Modular Head</v>
      </c>
      <c r="C341" t="str" s="1">
        <v>ForSchool</v>
      </c>
      <c r="D341" t="str" s="15">
        <v>Windsurf · Componentes de aparejo</v>
      </c>
      <c r="E341" t="n" s="20">
        <v>189</v>
      </c>
      <c r="F341" t="str" s="15">
        <f>IF($B$7="No","Sin IVA confirmado",IF(AND($B$7="Sí",ISNUMBER($B$3)),"IVA incluido","IVA pendiente"))</f>
        <v>IVA incluido</v>
      </c>
      <c r="G341" t="n" s="20">
        <f>IF($B$7="No",E341,IF(AND($B$7="Sí",ISNUMBER($B$3)),ROUND(E341/(1+$B$3),2),""))</f>
        <v>156.2</v>
      </c>
      <c r="H341" t="str" s="15">
        <v>Catálogo visual escuelas windsurf, 09/10/2026, pág. 25</v>
      </c>
      <c r="I341" t="str" s="15">
        <v>PVP de referencia orientativo; stock y transporte por confirmar. Se seleccionan longitudes 140-190, 160-210 y 180-230; comprobar vela y mástil.</v>
      </c>
      <c r="J341" t="n" s="21">
        <v>46307</v>
      </c>
    </row>
    <row r="342" ht="68" customHeight="1">
      <c r="A342" t="str" s="22">
        <v>UF012010040</v>
      </c>
      <c r="B342" t="str" s="23">
        <v>Unifiber Essentials Alloy · Essentials Alloy Boom 160-210 - Modular Head</v>
      </c>
      <c r="C342" t="str" s="22">
        <v>ForSchool</v>
      </c>
      <c r="D342" t="str" s="23">
        <v>Windsurf · Componentes de aparejo</v>
      </c>
      <c r="E342" t="n" s="24">
        <v>199</v>
      </c>
      <c r="F342" t="str" s="23">
        <f>IF($B$7="No","Sin IVA confirmado",IF(AND($B$7="Sí",ISNUMBER($B$3)),"IVA incluido","IVA pendiente"))</f>
        <v>IVA incluido</v>
      </c>
      <c r="G342" t="n" s="24">
        <f>IF($B$7="No",E342,IF(AND($B$7="Sí",ISNUMBER($B$3)),ROUND(E342/(1+$B$3),2),""))</f>
        <v>164.46</v>
      </c>
      <c r="H342" t="str" s="23">
        <v>Catálogo visual escuelas windsurf, 09/10/2026, pág. 25</v>
      </c>
      <c r="I342" t="str" s="23">
        <v>PVP de referencia orientativo; stock y transporte por confirmar. Se seleccionan longitudes 140-190, 160-210 y 180-230; comprobar vela y mástil.</v>
      </c>
      <c r="J342" t="n" s="25">
        <v>46307</v>
      </c>
    </row>
    <row r="343" ht="68" customHeight="1">
      <c r="A343" t="str" s="1">
        <v>UF012010050</v>
      </c>
      <c r="B343" t="str" s="15">
        <v>Unifiber Essentials Alloy · Essentials Alloy Boom 180-230 IWT - Modular Head</v>
      </c>
      <c r="C343" t="str" s="1">
        <v>ForSchool</v>
      </c>
      <c r="D343" t="str" s="15">
        <v>Windsurf · Componentes de aparejo</v>
      </c>
      <c r="E343" t="n" s="20">
        <v>219.01</v>
      </c>
      <c r="F343" t="str" s="15">
        <f>IF($B$7="No","Sin IVA confirmado",IF(AND($B$7="Sí",ISNUMBER($B$3)),"IVA incluido","IVA pendiente"))</f>
        <v>IVA incluido</v>
      </c>
      <c r="G343" t="n" s="20">
        <f>IF($B$7="No",E343,IF(AND($B$7="Sí",ISNUMBER($B$3)),ROUND(E343/(1+$B$3),2),""))</f>
        <v>181</v>
      </c>
      <c r="H343" t="str" s="15">
        <v>Catálogo visual escuelas windsurf, 09/10/2026, pág. 25</v>
      </c>
      <c r="I343" t="str" s="15">
        <v>PVP de referencia orientativo; stock y transporte por confirmar. Se seleccionan longitudes 140-190, 160-210 y 180-230; comprobar vela y mástil.</v>
      </c>
      <c r="J343" t="n" s="21">
        <v>46307</v>
      </c>
    </row>
    <row r="344" ht="81.5" customHeight="1">
      <c r="A344" t="str" s="22">
        <v>UF030035035</v>
      </c>
      <c r="B344" t="str" s="23">
        <v>Unifiber extensiones Essentials ALU · Essentials RDM V2 Aluminium Mast Extension (U-Pin) 30</v>
      </c>
      <c r="C344" t="str" s="22">
        <v>ForSchool</v>
      </c>
      <c r="D344" t="str" s="23">
        <v>Windsurf · Componentes de aparejo</v>
      </c>
      <c r="E344" t="n" s="24">
        <v>64.95</v>
      </c>
      <c r="F344" t="str" s="23">
        <f>IF($B$7="No","Sin IVA confirmado",IF(AND($B$7="Sí",ISNUMBER($B$3)),"IVA incluido","IVA pendiente"))</f>
        <v>IVA incluido</v>
      </c>
      <c r="G344" t="n" s="24">
        <f>IF($B$7="No",E344,IF(AND($B$7="Sí",ISNUMBER($B$3)),ROUND(E344/(1+$B$3),2),""))</f>
        <v>53.68</v>
      </c>
      <c r="H344" t="str" s="23">
        <v>Catálogo visual escuelas windsurf, 09/10/2026, pág. 26</v>
      </c>
      <c r="I344" t="str" s="23">
        <v>PVP de referencia orientativo; stock y transporte por confirmar. RDM y SDM no son intercambiables; unión U-Pin. Las bases 0 no son extensiones regulables.</v>
      </c>
      <c r="J344" t="n" s="25">
        <v>46307</v>
      </c>
    </row>
    <row r="345" ht="81.5" customHeight="1">
      <c r="A345" t="str" s="1">
        <v>UF030035040</v>
      </c>
      <c r="B345" t="str" s="15">
        <v>Unifiber extensiones Essentials ALU · Essentials RDM V2 Aluminium Mast Extension (U-Pin) 45</v>
      </c>
      <c r="C345" t="str" s="1">
        <v>ForSchool</v>
      </c>
      <c r="D345" t="str" s="15">
        <v>Windsurf · Componentes de aparejo</v>
      </c>
      <c r="E345" t="n" s="20">
        <v>74.95</v>
      </c>
      <c r="F345" t="str" s="15">
        <f>IF($B$7="No","Sin IVA confirmado",IF(AND($B$7="Sí",ISNUMBER($B$3)),"IVA incluido","IVA pendiente"))</f>
        <v>IVA incluido</v>
      </c>
      <c r="G345" t="n" s="20">
        <f>IF($B$7="No",E345,IF(AND($B$7="Sí",ISNUMBER($B$3)),ROUND(E345/(1+$B$3),2),""))</f>
        <v>61.94</v>
      </c>
      <c r="H345" t="str" s="15">
        <v>Catálogo visual escuelas windsurf, 09/10/2026, pág. 26</v>
      </c>
      <c r="I345" t="str" s="15">
        <v>PVP de referencia orientativo; stock y transporte por confirmar. RDM y SDM no son intercambiables; unión U-Pin. Las bases 0 no son extensiones regulables.</v>
      </c>
      <c r="J345" t="n" s="21">
        <v>46307</v>
      </c>
    </row>
    <row r="346" ht="81.5" customHeight="1">
      <c r="A346" t="str" s="22">
        <v>UF030035055</v>
      </c>
      <c r="B346" t="str" s="23">
        <v>Unifiber extensiones Essentials ALU · Essentials SDM V2 Aluminium Mast Extension (U-Pin) 30</v>
      </c>
      <c r="C346" t="str" s="22">
        <v>ForSchool</v>
      </c>
      <c r="D346" t="str" s="23">
        <v>Windsurf · Componentes de aparejo</v>
      </c>
      <c r="E346" t="n" s="24">
        <v>59.96</v>
      </c>
      <c r="F346" t="str" s="23">
        <f>IF($B$7="No","Sin IVA confirmado",IF(AND($B$7="Sí",ISNUMBER($B$3)),"IVA incluido","IVA pendiente"))</f>
        <v>IVA incluido</v>
      </c>
      <c r="G346" t="n" s="24">
        <f>IF($B$7="No",E346,IF(AND($B$7="Sí",ISNUMBER($B$3)),ROUND(E346/(1+$B$3),2),""))</f>
        <v>49.55</v>
      </c>
      <c r="H346" t="str" s="23">
        <v>Catálogo visual escuelas windsurf, 09/10/2026, pág. 26</v>
      </c>
      <c r="I346" t="str" s="23">
        <v>PVP de referencia orientativo; stock y transporte por confirmar. RDM y SDM no son intercambiables; unión U-Pin. Las bases 0 no son extensiones regulables.</v>
      </c>
      <c r="J346" t="n" s="25">
        <v>46307</v>
      </c>
    </row>
    <row r="347" ht="81.5" customHeight="1">
      <c r="A347" t="str" s="1">
        <v>UF030035060</v>
      </c>
      <c r="B347" t="str" s="15">
        <v>Unifiber extensiones Essentials ALU · Essentials SDM V2 Aluminium Mast Extension (U-Pin) 45</v>
      </c>
      <c r="C347" t="str" s="1">
        <v>ForSchool</v>
      </c>
      <c r="D347" t="str" s="15">
        <v>Windsurf · Componentes de aparejo</v>
      </c>
      <c r="E347" t="n" s="20">
        <v>69.95</v>
      </c>
      <c r="F347" t="str" s="15">
        <f>IF($B$7="No","Sin IVA confirmado",IF(AND($B$7="Sí",ISNUMBER($B$3)),"IVA incluido","IVA pendiente"))</f>
        <v>IVA incluido</v>
      </c>
      <c r="G347" t="n" s="20">
        <f>IF($B$7="No",E347,IF(AND($B$7="Sí",ISNUMBER($B$3)),ROUND(E347/(1+$B$3),2),""))</f>
        <v>57.81</v>
      </c>
      <c r="H347" t="str" s="15">
        <v>Catálogo visual escuelas windsurf, 09/10/2026, pág. 26</v>
      </c>
      <c r="I347" t="str" s="15">
        <v>PVP de referencia orientativo; stock y transporte por confirmar. RDM y SDM no son intercambiables; unión U-Pin. Las bases 0 no son extensiones regulables.</v>
      </c>
      <c r="J347" t="n" s="21">
        <v>46307</v>
      </c>
    </row>
    <row r="348" ht="81.5" customHeight="1">
      <c r="A348" t="str" s="22">
        <v>UF030060003</v>
      </c>
      <c r="B348" t="str" s="23">
        <v>Unifiber extensiones Essentials ALU · RDM V2 Base (U-Pin) 0</v>
      </c>
      <c r="C348" t="str" s="22">
        <v>ForSchool</v>
      </c>
      <c r="D348" t="str" s="23">
        <v>Windsurf · Componentes de aparejo</v>
      </c>
      <c r="E348" t="n" s="24">
        <v>26.95</v>
      </c>
      <c r="F348" t="str" s="23">
        <f>IF($B$7="No","Sin IVA confirmado",IF(AND($B$7="Sí",ISNUMBER($B$3)),"IVA incluido","IVA pendiente"))</f>
        <v>IVA incluido</v>
      </c>
      <c r="G348" t="n" s="24">
        <f>IF($B$7="No",E348,IF(AND($B$7="Sí",ISNUMBER($B$3)),ROUND(E348/(1+$B$3),2),""))</f>
        <v>22.27</v>
      </c>
      <c r="H348" t="str" s="23">
        <v>Catálogo visual escuelas windsurf, 09/10/2026, pág. 26</v>
      </c>
      <c r="I348" t="str" s="23">
        <v>PVP de referencia orientativo; stock y transporte por confirmar. RDM y SDM no son intercambiables; unión U-Pin. Las bases 0 no son extensiones regulables.</v>
      </c>
      <c r="J348" t="n" s="25">
        <v>46307</v>
      </c>
    </row>
    <row r="349" ht="81.5" customHeight="1">
      <c r="A349" t="str" s="1">
        <v>UF030070001</v>
      </c>
      <c r="B349" t="str" s="15">
        <v>Unifiber extensiones Essentials ALU · SDM V2 Base (U-Pin) 0</v>
      </c>
      <c r="C349" t="str" s="1">
        <v>ForSchool</v>
      </c>
      <c r="D349" t="str" s="15">
        <v>Windsurf · Componentes de aparejo</v>
      </c>
      <c r="E349" t="n" s="20">
        <v>26.95</v>
      </c>
      <c r="F349" t="str" s="15">
        <f>IF($B$7="No","Sin IVA confirmado",IF(AND($B$7="Sí",ISNUMBER($B$3)),"IVA incluido","IVA pendiente"))</f>
        <v>IVA incluido</v>
      </c>
      <c r="G349" t="n" s="20">
        <f>IF($B$7="No",E349,IF(AND($B$7="Sí",ISNUMBER($B$3)),ROUND(E349/(1+$B$3),2),""))</f>
        <v>22.27</v>
      </c>
      <c r="H349" t="str" s="15">
        <v>Catálogo visual escuelas windsurf, 09/10/2026, pág. 26</v>
      </c>
      <c r="I349" t="str" s="15">
        <v>PVP de referencia orientativo; stock y transporte por confirmar. RDM y SDM no son intercambiables; unión U-Pin. Las bases 0 no son extensiones regulables.</v>
      </c>
      <c r="J349" t="n" s="21">
        <v>46307</v>
      </c>
    </row>
    <row r="350" ht="95" customHeight="1">
      <c r="A350" t="str" s="22">
        <v>UF060011000</v>
      </c>
      <c r="B350" t="str" s="23">
        <v>Unifiber bases Essentials U-Pin · Baseplate Tendon Joint Essentials (U-Pin)</v>
      </c>
      <c r="C350" t="str" s="22">
        <v>ForSchool</v>
      </c>
      <c r="D350" t="str" s="23">
        <v>Windsurf · Componentes de aparejo</v>
      </c>
      <c r="E350" t="n" s="24">
        <v>49.95</v>
      </c>
      <c r="F350" t="str" s="23">
        <f>IF($B$7="No","Sin IVA confirmado",IF(AND($B$7="Sí",ISNUMBER($B$3)),"IVA incluido","IVA pendiente"))</f>
        <v>IVA incluido</v>
      </c>
      <c r="G350" t="n" s="24">
        <f>IF($B$7="No",E350,IF(AND($B$7="Sí",ISNUMBER($B$3)),ROUND(E350/(1+$B$3),2),""))</f>
        <v>41.28</v>
      </c>
      <c r="H350" t="str" s="23">
        <v>Catálogo visual escuelas windsurf, 09/10/2026, pág. 27</v>
      </c>
      <c r="I350" t="str" s="23">
        <v>PVP de referencia orientativo; stock y transporte por confirmar. Verificar unión U-Pin, rosca/carril y compatibilidad de tabla y extensión. Inspeccionar tendón y cabo de seguridad periódicamente.</v>
      </c>
      <c r="J350" t="n" s="25">
        <v>46307</v>
      </c>
    </row>
    <row r="351" ht="95" customHeight="1">
      <c r="A351" t="str" s="1">
        <v>UF060011008</v>
      </c>
      <c r="B351" t="str" s="15">
        <v>Unifiber bases Essentials U-Pin · Baseplate Tendon Joint Cardan Essentials (U-Pin)</v>
      </c>
      <c r="C351" t="str" s="1">
        <v>ForSchool</v>
      </c>
      <c r="D351" t="str" s="15">
        <v>Windsurf · Componentes de aparejo</v>
      </c>
      <c r="E351" t="n" s="20">
        <v>59.96</v>
      </c>
      <c r="F351" t="str" s="15">
        <f>IF($B$7="No","Sin IVA confirmado",IF(AND($B$7="Sí",ISNUMBER($B$3)),"IVA incluido","IVA pendiente"))</f>
        <v>IVA incluido</v>
      </c>
      <c r="G351" t="n" s="20">
        <f>IF($B$7="No",E351,IF(AND($B$7="Sí",ISNUMBER($B$3)),ROUND(E351/(1+$B$3),2),""))</f>
        <v>49.55</v>
      </c>
      <c r="H351" t="str" s="15">
        <v>Catálogo visual escuelas windsurf, 09/10/2026, pág. 27</v>
      </c>
      <c r="I351" t="str" s="15">
        <v>PVP de referencia orientativo; stock y transporte por confirmar. Verificar unión U-Pin, rosca/carril y compatibilidad de tabla y extensión. Inspeccionar tendón y cabo de seguridad periódicamente.</v>
      </c>
      <c r="J351" t="n" s="21">
        <v>46307</v>
      </c>
    </row>
    <row r="352" ht="108.5" customHeight="1">
      <c r="A352" t="str" s="22">
        <v>SM024110033</v>
      </c>
      <c r="B352" t="str" s="23">
        <v>Select Starter G10 · Starter G10 33 Power Box</v>
      </c>
      <c r="C352" t="str" s="22">
        <v>ForSchool</v>
      </c>
      <c r="D352" t="str" s="23">
        <v>Windsurf · Aletas y orzas</v>
      </c>
      <c r="E352" t="n" s="24">
        <v>125.01</v>
      </c>
      <c r="F352" t="str" s="23">
        <f>IF($B$7="No","Sin IVA confirmado",IF(AND($B$7="Sí",ISNUMBER($B$3)),"IVA incluido","IVA pendiente"))</f>
        <v>IVA incluido</v>
      </c>
      <c r="G352" t="n" s="24">
        <f>IF($B$7="No",E352,IF(AND($B$7="Sí",ISNUMBER($B$3)),ROUND(E352/(1+$B$3),2),""))</f>
        <v>103.31</v>
      </c>
      <c r="H352" t="str" s="23">
        <v>Catálogo visual escuelas windsurf, 09/10/2026, pág. 28</v>
      </c>
      <c r="I352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2" t="n" s="25">
        <v>46307</v>
      </c>
    </row>
    <row r="353" ht="108.5" customHeight="1">
      <c r="A353" t="str" s="1">
        <v>SM024110035</v>
      </c>
      <c r="B353" t="str" s="15">
        <v>Select Starter G10 · Starter G10 35 Power Box</v>
      </c>
      <c r="C353" t="str" s="1">
        <v>ForSchool</v>
      </c>
      <c r="D353" t="str" s="15">
        <v>Windsurf · Aletas y orzas</v>
      </c>
      <c r="E353" t="n" s="20">
        <v>125.01</v>
      </c>
      <c r="F353" t="str" s="15">
        <f>IF($B$7="No","Sin IVA confirmado",IF(AND($B$7="Sí",ISNUMBER($B$3)),"IVA incluido","IVA pendiente"))</f>
        <v>IVA incluido</v>
      </c>
      <c r="G353" t="n" s="20">
        <f>IF($B$7="No",E353,IF(AND($B$7="Sí",ISNUMBER($B$3)),ROUND(E353/(1+$B$3),2),""))</f>
        <v>103.31</v>
      </c>
      <c r="H353" t="str" s="15">
        <v>Catálogo visual escuelas windsurf, 09/10/2026, pág. 28</v>
      </c>
      <c r="I353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3" t="n" s="21">
        <v>46307</v>
      </c>
    </row>
    <row r="354" ht="108.5" customHeight="1">
      <c r="A354" t="str" s="22">
        <v>SM024110037</v>
      </c>
      <c r="B354" t="str" s="23">
        <v>Select Starter G10 · Starter G10 37 Power Box</v>
      </c>
      <c r="C354" t="str" s="22">
        <v>ForSchool</v>
      </c>
      <c r="D354" t="str" s="23">
        <v>Windsurf · Aletas y orzas</v>
      </c>
      <c r="E354" t="n" s="24">
        <v>125.01</v>
      </c>
      <c r="F354" t="str" s="23">
        <f>IF($B$7="No","Sin IVA confirmado",IF(AND($B$7="Sí",ISNUMBER($B$3)),"IVA incluido","IVA pendiente"))</f>
        <v>IVA incluido</v>
      </c>
      <c r="G354" t="n" s="24">
        <f>IF($B$7="No",E354,IF(AND($B$7="Sí",ISNUMBER($B$3)),ROUND(E354/(1+$B$3),2),""))</f>
        <v>103.31</v>
      </c>
      <c r="H354" t="str" s="23">
        <v>Catálogo visual escuelas windsurf, 09/10/2026, pág. 28</v>
      </c>
      <c r="I354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4" t="n" s="25">
        <v>46307</v>
      </c>
    </row>
    <row r="355" ht="108.5" customHeight="1">
      <c r="A355" t="str" s="1">
        <v>SM024110040</v>
      </c>
      <c r="B355" t="str" s="15">
        <v>Select Starter G10 · Starter G10 40 Power Box</v>
      </c>
      <c r="C355" t="str" s="1">
        <v>ForSchool</v>
      </c>
      <c r="D355" t="str" s="15">
        <v>Windsurf · Aletas y orzas</v>
      </c>
      <c r="E355" t="n" s="20">
        <v>135</v>
      </c>
      <c r="F355" t="str" s="15">
        <f>IF($B$7="No","Sin IVA confirmado",IF(AND($B$7="Sí",ISNUMBER($B$3)),"IVA incluido","IVA pendiente"))</f>
        <v>IVA incluido</v>
      </c>
      <c r="G355" t="n" s="20">
        <f>IF($B$7="No",E355,IF(AND($B$7="Sí",ISNUMBER($B$3)),ROUND(E355/(1+$B$3),2),""))</f>
        <v>111.57</v>
      </c>
      <c r="H355" t="str" s="15">
        <v>Catálogo visual escuelas windsurf, 09/10/2026, pág. 28</v>
      </c>
      <c r="I355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5" t="n" s="21">
        <v>46307</v>
      </c>
    </row>
    <row r="356" ht="108.5" customHeight="1">
      <c r="A356" t="str" s="22">
        <v>SM024110043</v>
      </c>
      <c r="B356" t="str" s="23">
        <v>Select Starter G10 · Starter G10 43 Power Box</v>
      </c>
      <c r="C356" t="str" s="22">
        <v>ForSchool</v>
      </c>
      <c r="D356" t="str" s="23">
        <v>Windsurf · Aletas y orzas</v>
      </c>
      <c r="E356" t="n" s="24">
        <v>135</v>
      </c>
      <c r="F356" t="str" s="23">
        <f>IF($B$7="No","Sin IVA confirmado",IF(AND($B$7="Sí",ISNUMBER($B$3)),"IVA incluido","IVA pendiente"))</f>
        <v>IVA incluido</v>
      </c>
      <c r="G356" t="n" s="24">
        <f>IF($B$7="No",E356,IF(AND($B$7="Sí",ISNUMBER($B$3)),ROUND(E356/(1+$B$3),2),""))</f>
        <v>111.57</v>
      </c>
      <c r="H356" t="str" s="23">
        <v>Catálogo visual escuelas windsurf, 09/10/2026, pág. 28</v>
      </c>
      <c r="I356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6" t="n" s="25">
        <v>46307</v>
      </c>
    </row>
    <row r="357" ht="108.5" customHeight="1">
      <c r="A357" t="str" s="1">
        <v>SM024110046</v>
      </c>
      <c r="B357" t="str" s="15">
        <v>Select Starter G10 · Starter G10 46 Power Box</v>
      </c>
      <c r="C357" t="str" s="1">
        <v>ForSchool</v>
      </c>
      <c r="D357" t="str" s="15">
        <v>Windsurf · Aletas y orzas</v>
      </c>
      <c r="E357" t="n" s="20">
        <v>144.99</v>
      </c>
      <c r="F357" t="str" s="15">
        <f>IF($B$7="No","Sin IVA confirmado",IF(AND($B$7="Sí",ISNUMBER($B$3)),"IVA incluido","IVA pendiente"))</f>
        <v>IVA incluido</v>
      </c>
      <c r="G357" t="n" s="20">
        <f>IF($B$7="No",E357,IF(AND($B$7="Sí",ISNUMBER($B$3)),ROUND(E357/(1+$B$3),2),""))</f>
        <v>119.83</v>
      </c>
      <c r="H357" t="str" s="15">
        <v>Catálogo visual escuelas windsurf, 09/10/2026, pág. 28</v>
      </c>
      <c r="I357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7" t="n" s="21">
        <v>46307</v>
      </c>
    </row>
    <row r="358" ht="108.5" customHeight="1">
      <c r="A358" t="str" s="22">
        <v>SM024120033</v>
      </c>
      <c r="B358" t="str" s="23">
        <v>Select Starter G10 · Starter G10 33 Tuttle Box</v>
      </c>
      <c r="C358" t="str" s="22">
        <v>ForSchool</v>
      </c>
      <c r="D358" t="str" s="23">
        <v>Windsurf · Aletas y orzas</v>
      </c>
      <c r="E358" t="n" s="24">
        <v>115</v>
      </c>
      <c r="F358" t="str" s="23">
        <f>IF($B$7="No","Sin IVA confirmado",IF(AND($B$7="Sí",ISNUMBER($B$3)),"IVA incluido","IVA pendiente"))</f>
        <v>IVA incluido</v>
      </c>
      <c r="G358" t="n" s="24">
        <f>IF($B$7="No",E358,IF(AND($B$7="Sí",ISNUMBER($B$3)),ROUND(E358/(1+$B$3),2),""))</f>
        <v>95.04</v>
      </c>
      <c r="H358" t="str" s="23">
        <v>Catálogo visual escuelas windsurf, 09/10/2026, pág. 28</v>
      </c>
      <c r="I358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8" t="n" s="25">
        <v>46307</v>
      </c>
    </row>
    <row r="359" ht="108.5" customHeight="1">
      <c r="A359" t="str" s="1">
        <v>SM024120035</v>
      </c>
      <c r="B359" t="str" s="15">
        <v>Select Starter G10 · Starter G10 35 Tuttle Box</v>
      </c>
      <c r="C359" t="str" s="1">
        <v>ForSchool</v>
      </c>
      <c r="D359" t="str" s="15">
        <v>Windsurf · Aletas y orzas</v>
      </c>
      <c r="E359" t="n" s="20">
        <v>125.01</v>
      </c>
      <c r="F359" t="str" s="15">
        <f>IF($B$7="No","Sin IVA confirmado",IF(AND($B$7="Sí",ISNUMBER($B$3)),"IVA incluido","IVA pendiente"))</f>
        <v>IVA incluido</v>
      </c>
      <c r="G359" t="n" s="20">
        <f>IF($B$7="No",E359,IF(AND($B$7="Sí",ISNUMBER($B$3)),ROUND(E359/(1+$B$3),2),""))</f>
        <v>103.31</v>
      </c>
      <c r="H359" t="str" s="15">
        <v>Catálogo visual escuelas windsurf, 09/10/2026, pág. 28</v>
      </c>
      <c r="I359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59" t="n" s="21">
        <v>46307</v>
      </c>
    </row>
    <row r="360" ht="108.5" customHeight="1">
      <c r="A360" t="str" s="22">
        <v>SM024120037</v>
      </c>
      <c r="B360" t="str" s="23">
        <v>Select Starter G10 · Starter G10 37 Tuttle Box</v>
      </c>
      <c r="C360" t="str" s="22">
        <v>ForSchool</v>
      </c>
      <c r="D360" t="str" s="23">
        <v>Windsurf · Aletas y orzas</v>
      </c>
      <c r="E360" t="n" s="24">
        <v>125.01</v>
      </c>
      <c r="F360" t="str" s="23">
        <f>IF($B$7="No","Sin IVA confirmado",IF(AND($B$7="Sí",ISNUMBER($B$3)),"IVA incluido","IVA pendiente"))</f>
        <v>IVA incluido</v>
      </c>
      <c r="G360" t="n" s="24">
        <f>IF($B$7="No",E360,IF(AND($B$7="Sí",ISNUMBER($B$3)),ROUND(E360/(1+$B$3),2),""))</f>
        <v>103.31</v>
      </c>
      <c r="H360" t="str" s="23">
        <v>Catálogo visual escuelas windsurf, 09/10/2026, pág. 28</v>
      </c>
      <c r="I360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0" t="n" s="25">
        <v>46307</v>
      </c>
    </row>
    <row r="361" ht="108.5" customHeight="1">
      <c r="A361" t="str" s="1">
        <v>SM024120040</v>
      </c>
      <c r="B361" t="str" s="15">
        <v>Select Starter G10 · Starter G10 40 Tuttle Box</v>
      </c>
      <c r="C361" t="str" s="1">
        <v>ForSchool</v>
      </c>
      <c r="D361" t="str" s="15">
        <v>Windsurf · Aletas y orzas</v>
      </c>
      <c r="E361" t="n" s="20">
        <v>135</v>
      </c>
      <c r="F361" t="str" s="15">
        <f>IF($B$7="No","Sin IVA confirmado",IF(AND($B$7="Sí",ISNUMBER($B$3)),"IVA incluido","IVA pendiente"))</f>
        <v>IVA incluido</v>
      </c>
      <c r="G361" t="n" s="20">
        <f>IF($B$7="No",E361,IF(AND($B$7="Sí",ISNUMBER($B$3)),ROUND(E361/(1+$B$3),2),""))</f>
        <v>111.57</v>
      </c>
      <c r="H361" t="str" s="15">
        <v>Catálogo visual escuelas windsurf, 09/10/2026, pág. 28</v>
      </c>
      <c r="I361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1" t="n" s="21">
        <v>46307</v>
      </c>
    </row>
    <row r="362" ht="108.5" customHeight="1">
      <c r="A362" t="str" s="22">
        <v>SM024120043</v>
      </c>
      <c r="B362" t="str" s="23">
        <v>Select Starter G10 · Starter G10 43 Tuttle Box</v>
      </c>
      <c r="C362" t="str" s="22">
        <v>ForSchool</v>
      </c>
      <c r="D362" t="str" s="23">
        <v>Windsurf · Aletas y orzas</v>
      </c>
      <c r="E362" t="n" s="24">
        <v>135</v>
      </c>
      <c r="F362" t="str" s="23">
        <f>IF($B$7="No","Sin IVA confirmado",IF(AND($B$7="Sí",ISNUMBER($B$3)),"IVA incluido","IVA pendiente"))</f>
        <v>IVA incluido</v>
      </c>
      <c r="G362" t="n" s="24">
        <f>IF($B$7="No",E362,IF(AND($B$7="Sí",ISNUMBER($B$3)),ROUND(E362/(1+$B$3),2),""))</f>
        <v>111.57</v>
      </c>
      <c r="H362" t="str" s="23">
        <v>Catálogo visual escuelas windsurf, 09/10/2026, pág. 28</v>
      </c>
      <c r="I362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2" t="n" s="25">
        <v>46307</v>
      </c>
    </row>
    <row r="363" ht="108.5" customHeight="1">
      <c r="A363" t="str" s="1">
        <v>SM024120046</v>
      </c>
      <c r="B363" t="str" s="15">
        <v>Select Starter G10 · Starter G10 46 Tuttle Box</v>
      </c>
      <c r="C363" t="str" s="1">
        <v>ForSchool</v>
      </c>
      <c r="D363" t="str" s="15">
        <v>Windsurf · Aletas y orzas</v>
      </c>
      <c r="E363" t="n" s="20">
        <v>144.99</v>
      </c>
      <c r="F363" t="str" s="15">
        <f>IF($B$7="No","Sin IVA confirmado",IF(AND($B$7="Sí",ISNUMBER($B$3)),"IVA incluido","IVA pendiente"))</f>
        <v>IVA incluido</v>
      </c>
      <c r="G363" t="n" s="20">
        <f>IF($B$7="No",E363,IF(AND($B$7="Sí",ISNUMBER($B$3)),ROUND(E363/(1+$B$3),2),""))</f>
        <v>119.83</v>
      </c>
      <c r="H363" t="str" s="15">
        <v>Catálogo visual escuelas windsurf, 09/10/2026, pág. 28</v>
      </c>
      <c r="I363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3" t="n" s="21">
        <v>46307</v>
      </c>
    </row>
    <row r="364" ht="108.5" customHeight="1">
      <c r="A364" t="str" s="22">
        <v>SM024130033</v>
      </c>
      <c r="B364" t="str" s="23">
        <v>Select Starter G10 · Starter G10 33 US Box</v>
      </c>
      <c r="C364" t="str" s="22">
        <v>ForSchool</v>
      </c>
      <c r="D364" t="str" s="23">
        <v>Windsurf · Aletas y orzas</v>
      </c>
      <c r="E364" t="n" s="24">
        <v>115</v>
      </c>
      <c r="F364" t="str" s="23">
        <f>IF($B$7="No","Sin IVA confirmado",IF(AND($B$7="Sí",ISNUMBER($B$3)),"IVA incluido","IVA pendiente"))</f>
        <v>IVA incluido</v>
      </c>
      <c r="G364" t="n" s="24">
        <f>IF($B$7="No",E364,IF(AND($B$7="Sí",ISNUMBER($B$3)),ROUND(E364/(1+$B$3),2),""))</f>
        <v>95.04</v>
      </c>
      <c r="H364" t="str" s="23">
        <v>Catálogo visual escuelas windsurf, 09/10/2026, pág. 28</v>
      </c>
      <c r="I364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4" t="n" s="25">
        <v>46307</v>
      </c>
    </row>
    <row r="365" ht="108.5" customHeight="1">
      <c r="A365" t="str" s="1">
        <v>SM024130035</v>
      </c>
      <c r="B365" t="str" s="15">
        <v>Select Starter G10 · Starter G10 35 US Box</v>
      </c>
      <c r="C365" t="str" s="1">
        <v>ForSchool</v>
      </c>
      <c r="D365" t="str" s="15">
        <v>Windsurf · Aletas y orzas</v>
      </c>
      <c r="E365" t="n" s="20">
        <v>125.01</v>
      </c>
      <c r="F365" t="str" s="15">
        <f>IF($B$7="No","Sin IVA confirmado",IF(AND($B$7="Sí",ISNUMBER($B$3)),"IVA incluido","IVA pendiente"))</f>
        <v>IVA incluido</v>
      </c>
      <c r="G365" t="n" s="20">
        <f>IF($B$7="No",E365,IF(AND($B$7="Sí",ISNUMBER($B$3)),ROUND(E365/(1+$B$3),2),""))</f>
        <v>103.31</v>
      </c>
      <c r="H365" t="str" s="15">
        <v>Catálogo visual escuelas windsurf, 09/10/2026, pág. 28</v>
      </c>
      <c r="I365" t="str" s="15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5" t="n" s="21">
        <v>46307</v>
      </c>
    </row>
    <row r="366" ht="108.5" customHeight="1">
      <c r="A366" t="str" s="22">
        <v>SM024130037</v>
      </c>
      <c r="B366" t="str" s="23">
        <v>Select Starter G10 · Starter G10 37 US Box</v>
      </c>
      <c r="C366" t="str" s="22">
        <v>ForSchool</v>
      </c>
      <c r="D366" t="str" s="23">
        <v>Windsurf · Aletas y orzas</v>
      </c>
      <c r="E366" t="n" s="24">
        <v>125.01</v>
      </c>
      <c r="F366" t="str" s="23">
        <f>IF($B$7="No","Sin IVA confirmado",IF(AND($B$7="Sí",ISNUMBER($B$3)),"IVA incluido","IVA pendiente"))</f>
        <v>IVA incluido</v>
      </c>
      <c r="G366" t="n" s="24">
        <f>IF($B$7="No",E366,IF(AND($B$7="Sí",ISNUMBER($B$3)),ROUND(E366/(1+$B$3),2),""))</f>
        <v>103.31</v>
      </c>
      <c r="H366" t="str" s="23">
        <v>Catálogo visual escuelas windsurf, 09/10/2026, pág. 28</v>
      </c>
      <c r="I366" t="str" s="23">
        <v>PVP de referencia orientativo; stock y transporte por confirmar. Power Box, Tuttle y US Box son variantes distintas. Seleccionar caja y longitud exactas. US Box disponible en las longitudes especificadas en tarifa; no suponer equivalencias.</v>
      </c>
      <c r="J366" t="n" s="25">
        <v>46307</v>
      </c>
    </row>
    <row r="367" ht="68" customHeight="1">
      <c r="A367" t="str" s="1">
        <v>UF600000169</v>
      </c>
      <c r="B367" t="str" s="15">
        <v>Unifiber Freeride Plastic 34 · Freeride Plastic 34 cm Power Box</v>
      </c>
      <c r="C367" t="str" s="1">
        <v>ForSchool</v>
      </c>
      <c r="D367" t="str" s="15">
        <v>Windsurf · Aletas y orzas</v>
      </c>
      <c r="E367" t="n" s="20">
        <v>45.96</v>
      </c>
      <c r="F367" t="str" s="15">
        <f>IF($B$7="No","Sin IVA confirmado",IF(AND($B$7="Sí",ISNUMBER($B$3)),"IVA incluido","IVA pendiente"))</f>
        <v>IVA incluido</v>
      </c>
      <c r="G367" t="n" s="20">
        <f>IF($B$7="No",E367,IF(AND($B$7="Sí",ISNUMBER($B$3)),ROUND(E367/(1+$B$3),2),""))</f>
        <v>37.98</v>
      </c>
      <c r="H367" t="str" s="15">
        <v>Catálogo visual escuelas windsurf, 09/10/2026, pág. 29</v>
      </c>
      <c r="I367" t="str" s="15">
        <v>PVP de referencia orientativo; stock y transporte por confirmar. 34 cm, Power Box; comprobar adecuación a tabla, vela y profundidad.</v>
      </c>
      <c r="J367" t="n" s="21">
        <v>46307</v>
      </c>
    </row>
    <row r="368" ht="149" customHeight="1">
      <c r="A368" t="str" s="22">
        <v>AR00120</v>
      </c>
      <c r="B368" t="str" s="23">
        <v>Orzas y repuestos de orza · Allgaier Daggerboard 52cm</v>
      </c>
      <c r="C368" t="str" s="22">
        <v>ForSchool</v>
      </c>
      <c r="D368" t="str" s="23">
        <v>Windsurf · Aletas y orzas</v>
      </c>
      <c r="E368" t="n" s="24">
        <v>99.95</v>
      </c>
      <c r="F368" t="str" s="23">
        <f>IF($B$7="No","Sin IVA confirmado",IF(AND($B$7="Sí",ISNUMBER($B$3)),"IVA incluido","IVA pendiente"))</f>
        <v>IVA incluido</v>
      </c>
      <c r="G368" t="n" s="24">
        <f>IF($B$7="No",E368,IF(AND($B$7="Sí",ISNUMBER($B$3)),ROUND(E368/(1+$B$3),2),""))</f>
        <v>82.6</v>
      </c>
      <c r="H368" t="str" s="23">
        <v>Catálogo visual escuelas windsurf, 09/10/2026, pág. 30</v>
      </c>
      <c r="I368" t="str" s="23">
        <v>PVP de referencia orientativo; stock y transporte por confirmar. Allgaier 52/62 cm: recambios de Link; verificar talla y generación exacta antes del pedido. Rookie Case y Rookie Daggerboard requieren confirmar versión de tabla. No prometer compatibilidad Rookie II sin validarla. El protector del pomo también requiere comprobar la orza concreta.</v>
      </c>
      <c r="J368" t="n" s="25">
        <v>46307</v>
      </c>
    </row>
    <row r="369" ht="149" customHeight="1">
      <c r="A369" t="str" s="1">
        <v>AR00121</v>
      </c>
      <c r="B369" t="str" s="15">
        <v>Orzas y repuestos de orza · Allgaier Daggerboard 62cm</v>
      </c>
      <c r="C369" t="str" s="1">
        <v>ForSchool</v>
      </c>
      <c r="D369" t="str" s="15">
        <v>Windsurf · Aletas y orzas</v>
      </c>
      <c r="E369" t="n" s="20">
        <v>89</v>
      </c>
      <c r="F369" t="str" s="15">
        <f>IF($B$7="No","Sin IVA confirmado",IF(AND($B$7="Sí",ISNUMBER($B$3)),"IVA incluido","IVA pendiente"))</f>
        <v>IVA incluido</v>
      </c>
      <c r="G369" t="n" s="20">
        <f>IF($B$7="No",E369,IF(AND($B$7="Sí",ISNUMBER($B$3)),ROUND(E369/(1+$B$3),2),""))</f>
        <v>73.55</v>
      </c>
      <c r="H369" t="str" s="15">
        <v>Catálogo visual escuelas windsurf, 09/10/2026, pág. 30</v>
      </c>
      <c r="I369" t="str" s="15">
        <v>PVP de referencia orientativo; stock y transporte por confirmar. Allgaier 52/62 cm: recambios de Link; verificar talla y generación exacta antes del pedido. Rookie Case y Rookie Daggerboard requieren confirmar versión de tabla. No prometer compatibilidad Rookie II sin validarla. El protector del pomo también requiere comprobar la orza concreta.</v>
      </c>
      <c r="J369" t="n" s="21">
        <v>46307</v>
      </c>
    </row>
    <row r="370" ht="149" customHeight="1">
      <c r="A370" t="str" s="22">
        <v>UF079010006</v>
      </c>
      <c r="B370" t="str" s="23">
        <v>Orzas y repuestos de orza · Rookie Daggerboard Case</v>
      </c>
      <c r="C370" t="str" s="22">
        <v>ForSchool</v>
      </c>
      <c r="D370" t="str" s="23">
        <v>Windsurf · Aletas y orzas</v>
      </c>
      <c r="E370" t="n" s="24">
        <v>169</v>
      </c>
      <c r="F370" t="str" s="23">
        <f>IF($B$7="No","Sin IVA confirmado",IF(AND($B$7="Sí",ISNUMBER($B$3)),"IVA incluido","IVA pendiente"))</f>
        <v>IVA incluido</v>
      </c>
      <c r="G370" t="n" s="24">
        <f>IF($B$7="No",E370,IF(AND($B$7="Sí",ISNUMBER($B$3)),ROUND(E370/(1+$B$3),2),""))</f>
        <v>139.67</v>
      </c>
      <c r="H370" t="str" s="23">
        <v>Catálogo visual escuelas windsurf, 09/10/2026, pág. 30</v>
      </c>
      <c r="I370" t="str" s="23">
        <v>PVP de referencia orientativo; stock y transporte por confirmar. Allgaier 52/62 cm: recambios de Link; verificar talla y generación exacta antes del pedido. Rookie Case y Rookie Daggerboard requieren confirmar versión de tabla. No prometer compatibilidad Rookie II sin validarla. El protector del pomo también requiere comprobar la orza concreta.</v>
      </c>
      <c r="J370" t="n" s="25">
        <v>46307</v>
      </c>
    </row>
    <row r="371" ht="149" customHeight="1">
      <c r="A371" t="str" s="1">
        <v>UF079010007</v>
      </c>
      <c r="B371" t="str" s="15">
        <v>Orzas y repuestos de orza · Rookie Daggerboard</v>
      </c>
      <c r="C371" t="str" s="1">
        <v>ForSchool</v>
      </c>
      <c r="D371" t="str" s="15">
        <v>Windsurf · Aletas y orzas</v>
      </c>
      <c r="E371" t="n" s="20">
        <v>94.95</v>
      </c>
      <c r="F371" t="str" s="15">
        <f>IF($B$7="No","Sin IVA confirmado",IF(AND($B$7="Sí",ISNUMBER($B$3)),"IVA incluido","IVA pendiente"))</f>
        <v>IVA incluido</v>
      </c>
      <c r="G371" t="n" s="20">
        <f>IF($B$7="No",E371,IF(AND($B$7="Sí",ISNUMBER($B$3)),ROUND(E371/(1+$B$3),2),""))</f>
        <v>78.47</v>
      </c>
      <c r="H371" t="str" s="15">
        <v>Catálogo visual escuelas windsurf, 09/10/2026, pág. 30</v>
      </c>
      <c r="I371" t="str" s="15">
        <v>PVP de referencia orientativo; stock y transporte por confirmar. Allgaier 52/62 cm: recambios de Link; verificar talla y generación exacta antes del pedido. Rookie Case y Rookie Daggerboard requieren confirmar versión de tabla. No prometer compatibilidad Rookie II sin validarla. El protector del pomo también requiere comprobar la orza concreta.</v>
      </c>
      <c r="J371" t="n" s="21">
        <v>46307</v>
      </c>
    </row>
    <row r="372" ht="149" customHeight="1">
      <c r="A372" t="str" s="22">
        <v>UF052021025</v>
      </c>
      <c r="B372" t="str" s="23">
        <v>Orzas y repuestos de orza · Daggerboard Knob Cover</v>
      </c>
      <c r="C372" t="str" s="22">
        <v>ForSchool</v>
      </c>
      <c r="D372" t="str" s="23">
        <v>Windsurf · Aletas y orzas</v>
      </c>
      <c r="E372" t="n" s="24">
        <v>27.95</v>
      </c>
      <c r="F372" t="str" s="23">
        <f>IF($B$7="No","Sin IVA confirmado",IF(AND($B$7="Sí",ISNUMBER($B$3)),"IVA incluido","IVA pendiente"))</f>
        <v>IVA incluido</v>
      </c>
      <c r="G372" t="n" s="24">
        <f>IF($B$7="No",E372,IF(AND($B$7="Sí",ISNUMBER($B$3)),ROUND(E372/(1+$B$3),2),""))</f>
        <v>23.1</v>
      </c>
      <c r="H372" t="str" s="23">
        <v>Catálogo visual escuelas windsurf, 09/10/2026, pág. 30</v>
      </c>
      <c r="I372" t="str" s="23">
        <v>PVP de referencia orientativo; stock y transporte por confirmar. Allgaier 52/62 cm: recambios de Link; verificar talla y generación exacta antes del pedido. Rookie Case y Rookie Daggerboard requieren confirmar versión de tabla. No prometer compatibilidad Rookie II sin validarla. El protector del pomo también requiere comprobar la orza concreta.</v>
      </c>
      <c r="J372" t="n" s="25">
        <v>46307</v>
      </c>
    </row>
    <row r="373" ht="81.5" customHeight="1">
      <c r="A373" t="str" s="1">
        <v>UF052020024</v>
      </c>
      <c r="B373" t="str" s="15">
        <v>Unifiber protección de tabla · Boardguard</v>
      </c>
      <c r="C373" t="str" s="1">
        <v>ForSchool</v>
      </c>
      <c r="D373" t="str" s="15">
        <v>Windsurf · Protección y seguridad</v>
      </c>
      <c r="E373" t="n" s="20">
        <v>49.95</v>
      </c>
      <c r="F373" t="str" s="15">
        <f>IF($B$7="No","Sin IVA confirmado",IF(AND($B$7="Sí",ISNUMBER($B$3)),"IVA incluido","IVA pendiente"))</f>
        <v>IVA incluido</v>
      </c>
      <c r="G373" t="n" s="20">
        <f>IF($B$7="No",E373,IF(AND($B$7="Sí",ISNUMBER($B$3)),ROUND(E373/(1+$B$3),2),""))</f>
        <v>41.28</v>
      </c>
      <c r="H373" t="str" s="15">
        <v>Catálogo visual escuelas windsurf, 09/10/2026, pág. 31</v>
      </c>
      <c r="I373" t="str" s="15">
        <v>PVP de referencia orientativo; stock y transporte por confirmar. Comprobar ajuste del protector al aparejo y tabla. Ningún protector elimina el riesgo de rotura.</v>
      </c>
      <c r="J373" t="n" s="21">
        <v>46307</v>
      </c>
    </row>
    <row r="374" ht="81.5" customHeight="1">
      <c r="A374" t="str" s="22">
        <v>UF052020026</v>
      </c>
      <c r="B374" t="str" s="23">
        <v>Unifiber protección de tabla · Blackline Boom Board Protector</v>
      </c>
      <c r="C374" t="str" s="22">
        <v>ForSchool</v>
      </c>
      <c r="D374" t="str" s="23">
        <v>Windsurf · Protección y seguridad</v>
      </c>
      <c r="E374" t="n" s="24">
        <v>12.95</v>
      </c>
      <c r="F374" t="str" s="23">
        <f>IF($B$7="No","Sin IVA confirmado",IF(AND($B$7="Sí",ISNUMBER($B$3)),"IVA incluido","IVA pendiente"))</f>
        <v>IVA incluido</v>
      </c>
      <c r="G374" t="n" s="24">
        <f>IF($B$7="No",E374,IF(AND($B$7="Sí",ISNUMBER($B$3)),ROUND(E374/(1+$B$3),2),""))</f>
        <v>10.7</v>
      </c>
      <c r="H374" t="str" s="23">
        <v>Catálogo visual escuelas windsurf, 09/10/2026, pág. 31</v>
      </c>
      <c r="I374" t="str" s="23">
        <v>PVP de referencia orientativo; stock y transporte por confirmar. Comprobar ajuste del protector al aparejo y tabla. Ningún protector elimina el riesgo de rotura.</v>
      </c>
      <c r="J374" t="n" s="25">
        <v>46307</v>
      </c>
    </row>
    <row r="375" ht="81.5" customHeight="1">
      <c r="A375" t="str" s="1">
        <v>UF052020028</v>
      </c>
      <c r="B375" t="str" s="15">
        <v>Unifiber protección de tabla · Blackline Boom-Board Protector with Mast Cover</v>
      </c>
      <c r="C375" t="str" s="1">
        <v>ForSchool</v>
      </c>
      <c r="D375" t="str" s="15">
        <v>Windsurf · Protección y seguridad</v>
      </c>
      <c r="E375" t="n" s="20">
        <v>31.96</v>
      </c>
      <c r="F375" t="str" s="15">
        <f>IF($B$7="No","Sin IVA confirmado",IF(AND($B$7="Sí",ISNUMBER($B$3)),"IVA incluido","IVA pendiente"))</f>
        <v>IVA incluido</v>
      </c>
      <c r="G375" t="n" s="20">
        <f>IF($B$7="No",E375,IF(AND($B$7="Sí",ISNUMBER($B$3)),ROUND(E375/(1+$B$3),2),""))</f>
        <v>26.41</v>
      </c>
      <c r="H375" t="str" s="15">
        <v>Catálogo visual escuelas windsurf, 09/10/2026, pág. 31</v>
      </c>
      <c r="I375" t="str" s="15">
        <v>PVP de referencia orientativo; stock y transporte por confirmar. Comprobar ajuste del protector al aparejo y tabla. Ningún protector elimina el riesgo de rotura.</v>
      </c>
      <c r="J375" t="n" s="21">
        <v>46307</v>
      </c>
    </row>
    <row r="376" ht="68" customHeight="1">
      <c r="A376" t="str" s="22">
        <v>UF052020045</v>
      </c>
      <c r="B376" t="str" s="23">
        <v>Unifiber protectores de proa · Universal Double-Density 3M Self Adhesive Nose Protector S</v>
      </c>
      <c r="C376" t="str" s="22">
        <v>ForSchool</v>
      </c>
      <c r="D376" t="str" s="23">
        <v>Windsurf · Protección y seguridad</v>
      </c>
      <c r="E376" t="n" s="24">
        <v>44.95</v>
      </c>
      <c r="F376" t="str" s="23">
        <f>IF($B$7="No","Sin IVA confirmado",IF(AND($B$7="Sí",ISNUMBER($B$3)),"IVA incluido","IVA pendiente"))</f>
        <v>IVA incluido</v>
      </c>
      <c r="G376" t="n" s="24">
        <f>IF($B$7="No",E376,IF(AND($B$7="Sí",ISNUMBER($B$3)),ROUND(E376/(1+$B$3),2),""))</f>
        <v>37.15</v>
      </c>
      <c r="H376" t="str" s="23">
        <v>Catálogo visual escuelas windsurf, 09/10/2026, pág. 32</v>
      </c>
      <c r="I376" t="str" s="23">
        <v>PVP de referencia orientativo; stock y transporte por confirmar. Seleccionar tamaño por forma de la proa; seguir instalación del fabricante.</v>
      </c>
      <c r="J376" t="n" s="25">
        <v>46307</v>
      </c>
    </row>
    <row r="377" ht="68" customHeight="1">
      <c r="A377" t="str" s="1">
        <v>UF052020046</v>
      </c>
      <c r="B377" t="str" s="15">
        <v>Unifiber protectores de proa · Universal Double-Density 3M Self Adhesive Nose Protector M</v>
      </c>
      <c r="C377" t="str" s="1">
        <v>ForSchool</v>
      </c>
      <c r="D377" t="str" s="15">
        <v>Windsurf · Protección y seguridad</v>
      </c>
      <c r="E377" t="n" s="20">
        <v>49.95</v>
      </c>
      <c r="F377" t="str" s="15">
        <f>IF($B$7="No","Sin IVA confirmado",IF(AND($B$7="Sí",ISNUMBER($B$3)),"IVA incluido","IVA pendiente"))</f>
        <v>IVA incluido</v>
      </c>
      <c r="G377" t="n" s="20">
        <f>IF($B$7="No",E377,IF(AND($B$7="Sí",ISNUMBER($B$3)),ROUND(E377/(1+$B$3),2),""))</f>
        <v>41.28</v>
      </c>
      <c r="H377" t="str" s="15">
        <v>Catálogo visual escuelas windsurf, 09/10/2026, pág. 32</v>
      </c>
      <c r="I377" t="str" s="15">
        <v>PVP de referencia orientativo; stock y transporte por confirmar. Seleccionar tamaño por forma de la proa; seguir instalación del fabricante.</v>
      </c>
      <c r="J377" t="n" s="21">
        <v>46307</v>
      </c>
    </row>
    <row r="378" ht="68" customHeight="1">
      <c r="A378" t="str" s="22">
        <v>UF052020047</v>
      </c>
      <c r="B378" t="str" s="23">
        <v>Unifiber protectores de proa · Universal Double-Density 3M Self Adhesive Nose Protector L</v>
      </c>
      <c r="C378" t="str" s="22">
        <v>ForSchool</v>
      </c>
      <c r="D378" t="str" s="23">
        <v>Windsurf · Protección y seguridad</v>
      </c>
      <c r="E378" t="n" s="24">
        <v>54.95</v>
      </c>
      <c r="F378" t="str" s="23">
        <f>IF($B$7="No","Sin IVA confirmado",IF(AND($B$7="Sí",ISNUMBER($B$3)),"IVA incluido","IVA pendiente"))</f>
        <v>IVA incluido</v>
      </c>
      <c r="G378" t="n" s="24">
        <f>IF($B$7="No",E378,IF(AND($B$7="Sí",ISNUMBER($B$3)),ROUND(E378/(1+$B$3),2),""))</f>
        <v>45.41</v>
      </c>
      <c r="H378" t="str" s="23">
        <v>Catálogo visual escuelas windsurf, 09/10/2026, pág. 32</v>
      </c>
      <c r="I378" t="str" s="23">
        <v>PVP de referencia orientativo; stock y transporte por confirmar. Seleccionar tamaño por forma de la proa; seguir instalación del fabricante.</v>
      </c>
      <c r="J378" t="n" s="25">
        <v>46307</v>
      </c>
    </row>
    <row r="379" ht="68" customHeight="1">
      <c r="A379" t="str" s="1">
        <v>UF052020049</v>
      </c>
      <c r="B379" t="str" s="15">
        <v>Unifiber protectores de proa · Universal Double Density 3M Self Adhesive Nose Protector XL</v>
      </c>
      <c r="C379" t="str" s="1">
        <v>ForSchool</v>
      </c>
      <c r="D379" t="str" s="15">
        <v>Windsurf · Protección y seguridad</v>
      </c>
      <c r="E379" t="n" s="20">
        <v>64.95</v>
      </c>
      <c r="F379" t="str" s="15">
        <f>IF($B$7="No","Sin IVA confirmado",IF(AND($B$7="Sí",ISNUMBER($B$3)),"IVA incluido","IVA pendiente"))</f>
        <v>IVA incluido</v>
      </c>
      <c r="G379" t="n" s="20">
        <f>IF($B$7="No",E379,IF(AND($B$7="Sí",ISNUMBER($B$3)),ROUND(E379/(1+$B$3),2),""))</f>
        <v>53.68</v>
      </c>
      <c r="H379" t="str" s="15">
        <v>Catálogo visual escuelas windsurf, 09/10/2026, pág. 32</v>
      </c>
      <c r="I379" t="str" s="15">
        <v>PVP de referencia orientativo; stock y transporte por confirmar. Seleccionar tamaño por forma de la proa; seguir instalación del fabricante.</v>
      </c>
      <c r="J379" t="n" s="21">
        <v>46307</v>
      </c>
    </row>
    <row r="380" ht="68" customHeight="1">
      <c r="A380" t="str" s="22">
        <v>UF052020050</v>
      </c>
      <c r="B380" t="str" s="23">
        <v>Unifiber protectores de proa · Modular Double Density 3M Self Adhesive Nose Protector XXL</v>
      </c>
      <c r="C380" t="str" s="22">
        <v>ForSchool</v>
      </c>
      <c r="D380" t="str" s="23">
        <v>Windsurf · Protección y seguridad</v>
      </c>
      <c r="E380" t="n" s="24">
        <v>74.95</v>
      </c>
      <c r="F380" t="str" s="23">
        <f>IF($B$7="No","Sin IVA confirmado",IF(AND($B$7="Sí",ISNUMBER($B$3)),"IVA incluido","IVA pendiente"))</f>
        <v>IVA incluido</v>
      </c>
      <c r="G380" t="n" s="24">
        <f>IF($B$7="No",E380,IF(AND($B$7="Sí",ISNUMBER($B$3)),ROUND(E380/(1+$B$3),2),""))</f>
        <v>61.94</v>
      </c>
      <c r="H380" t="str" s="23">
        <v>Catálogo visual escuelas windsurf, 09/10/2026, pág. 32</v>
      </c>
      <c r="I380" t="str" s="23">
        <v>PVP de referencia orientativo; stock y transporte por confirmar. Seleccionar tamaño por forma de la proa; seguir instalación del fabricante.</v>
      </c>
      <c r="J380" t="n" s="25">
        <v>46307</v>
      </c>
    </row>
    <row r="381" ht="68" customHeight="1">
      <c r="A381" t="str" s="1">
        <v>D1WACWBP-BLASTD</v>
      </c>
      <c r="B381" t="str" s="15">
        <v>Protectores de pie de mástil · Wai Wai Base Pad OS - Black</v>
      </c>
      <c r="C381" t="str" s="1">
        <v>ForSchool</v>
      </c>
      <c r="D381" t="str" s="15">
        <v>Windsurf · Protección y seguridad</v>
      </c>
      <c r="E381" t="n" s="20">
        <v>10.95</v>
      </c>
      <c r="F381" t="str" s="15">
        <f>IF($B$7="No","Sin IVA confirmado",IF(AND($B$7="Sí",ISNUMBER($B$3)),"IVA incluido","IVA pendiente"))</f>
        <v>IVA incluido</v>
      </c>
      <c r="G381" t="n" s="20">
        <f>IF($B$7="No",E381,IF(AND($B$7="Sí",ISNUMBER($B$3)),ROUND(E381/(1+$B$3),2),""))</f>
        <v>9.05</v>
      </c>
      <c r="H381" t="str" s="15">
        <v>Catálogo visual escuelas windsurf, 09/10/2026, pág. 33</v>
      </c>
      <c r="I381" t="str" s="15">
        <v>PVP de referencia orientativo; stock y transporte por confirmar. Verificar cobertura y acceso al sistema de liberación de la base.</v>
      </c>
      <c r="J381" t="n" s="21">
        <v>46307</v>
      </c>
    </row>
    <row r="382" ht="68" customHeight="1">
      <c r="A382" t="str" s="22">
        <v>D1WACWBP-DLASTD</v>
      </c>
      <c r="B382" t="str" s="23">
        <v>Protectores de pie de mástil · Wai Wai Base Pad OS - Deep Lake</v>
      </c>
      <c r="C382" t="str" s="22">
        <v>ForSchool</v>
      </c>
      <c r="D382" t="str" s="23">
        <v>Windsurf · Protección y seguridad</v>
      </c>
      <c r="E382" t="n" s="24">
        <v>10.95</v>
      </c>
      <c r="F382" t="str" s="23">
        <f>IF($B$7="No","Sin IVA confirmado",IF(AND($B$7="Sí",ISNUMBER($B$3)),"IVA incluido","IVA pendiente"))</f>
        <v>IVA incluido</v>
      </c>
      <c r="G382" t="n" s="24">
        <f>IF($B$7="No",E382,IF(AND($B$7="Sí",ISNUMBER($B$3)),ROUND(E382/(1+$B$3),2),""))</f>
        <v>9.05</v>
      </c>
      <c r="H382" t="str" s="23">
        <v>Catálogo visual escuelas windsurf, 09/10/2026, pág. 33</v>
      </c>
      <c r="I382" t="str" s="23">
        <v>PVP de referencia orientativo; stock y transporte por confirmar. Verificar cobertura y acceso al sistema de liberación de la base.</v>
      </c>
      <c r="J382" t="n" s="25">
        <v>46307</v>
      </c>
    </row>
    <row r="383" ht="68" customHeight="1">
      <c r="A383" t="str" s="1">
        <v>D1WACWBP-FLOSTD</v>
      </c>
      <c r="B383" t="str" s="15">
        <v>Protectores de pie de mástil · Wai Wai Base Pad OS - Florida Blue</v>
      </c>
      <c r="C383" t="str" s="1">
        <v>ForSchool</v>
      </c>
      <c r="D383" t="str" s="15">
        <v>Windsurf · Protección y seguridad</v>
      </c>
      <c r="E383" t="n" s="20">
        <v>10.95</v>
      </c>
      <c r="F383" t="str" s="15">
        <f>IF($B$7="No","Sin IVA confirmado",IF(AND($B$7="Sí",ISNUMBER($B$3)),"IVA incluido","IVA pendiente"))</f>
        <v>IVA incluido</v>
      </c>
      <c r="G383" t="n" s="20">
        <f>IF($B$7="No",E383,IF(AND($B$7="Sí",ISNUMBER($B$3)),ROUND(E383/(1+$B$3),2),""))</f>
        <v>9.05</v>
      </c>
      <c r="H383" t="str" s="15">
        <v>Catálogo visual escuelas windsurf, 09/10/2026, pág. 33</v>
      </c>
      <c r="I383" t="str" s="15">
        <v>PVP de referencia orientativo; stock y transporte por confirmar. Verificar cobertura y acceso al sistema de liberación de la base.</v>
      </c>
      <c r="J383" t="n" s="21">
        <v>46307</v>
      </c>
    </row>
    <row r="384" ht="68" customHeight="1">
      <c r="A384" t="str" s="22">
        <v>UF052020027</v>
      </c>
      <c r="B384" t="str" s="23">
        <v>Protectores de pie de mástil · Blackline Mastbase Pad</v>
      </c>
      <c r="C384" t="str" s="22">
        <v>ForSchool</v>
      </c>
      <c r="D384" t="str" s="23">
        <v>Windsurf · Protección y seguridad</v>
      </c>
      <c r="E384" t="n" s="24">
        <v>11.95</v>
      </c>
      <c r="F384" t="str" s="23">
        <f>IF($B$7="No","Sin IVA confirmado",IF(AND($B$7="Sí",ISNUMBER($B$3)),"IVA incluido","IVA pendiente"))</f>
        <v>IVA incluido</v>
      </c>
      <c r="G384" t="n" s="24">
        <f>IF($B$7="No",E384,IF(AND($B$7="Sí",ISNUMBER($B$3)),ROUND(E384/(1+$B$3),2),""))</f>
        <v>9.88</v>
      </c>
      <c r="H384" t="str" s="23">
        <v>Catálogo visual escuelas windsurf, 09/10/2026, pág. 33</v>
      </c>
      <c r="I384" t="str" s="23">
        <v>PVP de referencia orientativo; stock y transporte por confirmar. Verificar cobertura y acceso al sistema de liberación de la base.</v>
      </c>
      <c r="J384" t="n" s="25">
        <v>46307</v>
      </c>
    </row>
    <row r="385" ht="122" customHeight="1">
      <c r="A385" t="str" s="1">
        <v>UF060070005</v>
      </c>
      <c r="B385" t="str" s="15">
        <v>Unifiber Watersport Helmet · Watersport Helmet Adjustable Navy Size S</v>
      </c>
      <c r="C385" t="str" s="1">
        <v>ForSchool</v>
      </c>
      <c r="D385" t="str" s="15">
        <v>Windsurf · Protección y seguridad</v>
      </c>
      <c r="E385" t="n" s="20">
        <v>49.95</v>
      </c>
      <c r="F385" t="str" s="15">
        <f>IF($B$7="No","Sin IVA confirmado",IF(AND($B$7="Sí",ISNUMBER($B$3)),"IVA incluido","IVA pendiente"))</f>
        <v>IVA incluido</v>
      </c>
      <c r="G385" t="n" s="20">
        <f>IF($B$7="No",E385,IF(AND($B$7="Sí",ISNUMBER($B$3)),ROUND(E385/(1+$B$3),2),""))</f>
        <v>41.28</v>
      </c>
      <c r="H385" t="str" s="15">
        <v>Catálogo visual escuelas windsurf, 09/10/2026, pág. 34</v>
      </c>
      <c r="I385" t="str" s="15">
        <v>PVP de referencia orientativo; stock y transporte por confirmar. Fabricante declara EN 1385:2012; comprobar marcado y documentación de la unidad suministrada. Medir y ajustar individualmente. No sustituye la evaluación de riesgos de la escuela. Liquidación / PVP revisado.</v>
      </c>
      <c r="J385" t="n" s="21">
        <v>46307</v>
      </c>
    </row>
    <row r="386" ht="108.5" customHeight="1">
      <c r="A386" t="str" s="22">
        <v>UF060070010</v>
      </c>
      <c r="B386" t="str" s="23">
        <v>Unifiber Watersport Helmet · Watersport Helmet Adjustable Navy Size M</v>
      </c>
      <c r="C386" t="str" s="22">
        <v>ForSchool</v>
      </c>
      <c r="D386" t="str" s="23">
        <v>Windsurf · Protección y seguridad</v>
      </c>
      <c r="E386" t="n" s="24">
        <v>59.96</v>
      </c>
      <c r="F386" t="str" s="23">
        <f>IF($B$7="No","Sin IVA confirmado",IF(AND($B$7="Sí",ISNUMBER($B$3)),"IVA incluido","IVA pendiente"))</f>
        <v>IVA incluido</v>
      </c>
      <c r="G386" t="n" s="24">
        <f>IF($B$7="No",E386,IF(AND($B$7="Sí",ISNUMBER($B$3)),ROUND(E386/(1+$B$3),2),""))</f>
        <v>49.55</v>
      </c>
      <c r="H386" t="str" s="23">
        <v>Catálogo visual escuelas windsurf, 09/10/2026, pág. 34</v>
      </c>
      <c r="I386" t="str" s="23">
        <v>PVP de referencia orientativo; stock y transporte por confirmar. Fabricante declara EN 1385:2012; comprobar marcado y documentación de la unidad suministrada. Medir y ajustar individualmente. No sustituye la evaluación de riesgos de la escuela.</v>
      </c>
      <c r="J386" t="n" s="25">
        <v>46307</v>
      </c>
    </row>
    <row r="387" ht="108.5" customHeight="1">
      <c r="A387" t="str" s="1">
        <v>UF060070020</v>
      </c>
      <c r="B387" t="str" s="15">
        <v>Unifiber Watersport Helmet · Watersport Helmet Adjustable Navy Size L</v>
      </c>
      <c r="C387" t="str" s="1">
        <v>ForSchool</v>
      </c>
      <c r="D387" t="str" s="15">
        <v>Windsurf · Protección y seguridad</v>
      </c>
      <c r="E387" t="n" s="20">
        <v>59.96</v>
      </c>
      <c r="F387" t="str" s="15">
        <f>IF($B$7="No","Sin IVA confirmado",IF(AND($B$7="Sí",ISNUMBER($B$3)),"IVA incluido","IVA pendiente"))</f>
        <v>IVA incluido</v>
      </c>
      <c r="G387" t="n" s="20">
        <f>IF($B$7="No",E387,IF(AND($B$7="Sí",ISNUMBER($B$3)),ROUND(E387/(1+$B$3),2),""))</f>
        <v>49.55</v>
      </c>
      <c r="H387" t="str" s="15">
        <v>Catálogo visual escuelas windsurf, 09/10/2026, pág. 34</v>
      </c>
      <c r="I387" t="str" s="15">
        <v>PVP de referencia orientativo; stock y transporte por confirmar. Fabricante declara EN 1385:2012; comprobar marcado y documentación de la unidad suministrada. Medir y ajustar individualmente. No sustituye la evaluación de riesgos de la escuela.</v>
      </c>
      <c r="J387" t="n" s="21">
        <v>46307</v>
      </c>
    </row>
    <row r="388" ht="122" customHeight="1">
      <c r="A388" t="str" s="22">
        <v>UF060070025</v>
      </c>
      <c r="B388" t="str" s="23">
        <v>Unifiber Watersport Helmet · Watersport Helmet Adjustable Slate Blue S</v>
      </c>
      <c r="C388" t="str" s="22">
        <v>ForSchool</v>
      </c>
      <c r="D388" t="str" s="23">
        <v>Windsurf · Protección y seguridad</v>
      </c>
      <c r="E388" t="n" s="24">
        <v>49.95</v>
      </c>
      <c r="F388" t="str" s="23">
        <f>IF($B$7="No","Sin IVA confirmado",IF(AND($B$7="Sí",ISNUMBER($B$3)),"IVA incluido","IVA pendiente"))</f>
        <v>IVA incluido</v>
      </c>
      <c r="G388" t="n" s="24">
        <f>IF($B$7="No",E388,IF(AND($B$7="Sí",ISNUMBER($B$3)),ROUND(E388/(1+$B$3),2),""))</f>
        <v>41.28</v>
      </c>
      <c r="H388" t="str" s="23">
        <v>Catálogo visual escuelas windsurf, 09/10/2026, pág. 34</v>
      </c>
      <c r="I388" t="str" s="23">
        <v>PVP de referencia orientativo; stock y transporte por confirmar. Fabricante declara EN 1385:2012; comprobar marcado y documentación de la unidad suministrada. Medir y ajustar individualmente. No sustituye la evaluación de riesgos de la escuela. Liquidación / PVP revisado.</v>
      </c>
      <c r="J388" t="n" s="25">
        <v>46307</v>
      </c>
    </row>
    <row r="389" ht="108.5" customHeight="1">
      <c r="A389" t="str" s="1">
        <v>UF060070030</v>
      </c>
      <c r="B389" t="str" s="15">
        <v>Unifiber Watersport Helmet · Watersport Helmet Adjustable Slate Blue M</v>
      </c>
      <c r="C389" t="str" s="1">
        <v>ForSchool</v>
      </c>
      <c r="D389" t="str" s="15">
        <v>Windsurf · Protección y seguridad</v>
      </c>
      <c r="E389" t="n" s="20">
        <v>59.96</v>
      </c>
      <c r="F389" t="str" s="15">
        <f>IF($B$7="No","Sin IVA confirmado",IF(AND($B$7="Sí",ISNUMBER($B$3)),"IVA incluido","IVA pendiente"))</f>
        <v>IVA incluido</v>
      </c>
      <c r="G389" t="n" s="20">
        <f>IF($B$7="No",E389,IF(AND($B$7="Sí",ISNUMBER($B$3)),ROUND(E389/(1+$B$3),2),""))</f>
        <v>49.55</v>
      </c>
      <c r="H389" t="str" s="15">
        <v>Catálogo visual escuelas windsurf, 09/10/2026, pág. 34</v>
      </c>
      <c r="I389" t="str" s="15">
        <v>PVP de referencia orientativo; stock y transporte por confirmar. Fabricante declara EN 1385:2012; comprobar marcado y documentación de la unidad suministrada. Medir y ajustar individualmente. No sustituye la evaluación de riesgos de la escuela.</v>
      </c>
      <c r="J389" t="n" s="21">
        <v>46307</v>
      </c>
    </row>
    <row r="390" ht="122" customHeight="1">
      <c r="A390" t="str" s="22">
        <v>UF060070040</v>
      </c>
      <c r="B390" t="str" s="23">
        <v>Unifiber Watersport Helmet · Watersport Helmet Adjustable Slate Blue L</v>
      </c>
      <c r="C390" t="str" s="22">
        <v>ForSchool</v>
      </c>
      <c r="D390" t="str" s="23">
        <v>Windsurf · Protección y seguridad</v>
      </c>
      <c r="E390" t="n" s="24">
        <v>49.95</v>
      </c>
      <c r="F390" t="str" s="23">
        <f>IF($B$7="No","Sin IVA confirmado",IF(AND($B$7="Sí",ISNUMBER($B$3)),"IVA incluido","IVA pendiente"))</f>
        <v>IVA incluido</v>
      </c>
      <c r="G390" t="n" s="24">
        <f>IF($B$7="No",E390,IF(AND($B$7="Sí",ISNUMBER($B$3)),ROUND(E390/(1+$B$3),2),""))</f>
        <v>41.28</v>
      </c>
      <c r="H390" t="str" s="23">
        <v>Catálogo visual escuelas windsurf, 09/10/2026, pág. 34</v>
      </c>
      <c r="I390" t="str" s="23">
        <v>PVP de referencia orientativo; stock y transporte por confirmar. Fabricante declara EN 1385:2012; comprobar marcado y documentación de la unidad suministrada. Medir y ajustar individualmente. No sustituye la evaluación de riesgos de la escuela. Liquidación / PVP revisado.</v>
      </c>
      <c r="J390" t="n" s="25">
        <v>46307</v>
      </c>
    </row>
    <row r="391" ht="81.5" customHeight="1">
      <c r="A391" t="str" s="1">
        <v>UF052020012</v>
      </c>
      <c r="B391" t="str" s="15">
        <v>Unifiber drizas HD · HD Uphaul String</v>
      </c>
      <c r="C391" t="str" s="1">
        <v>ForSchool</v>
      </c>
      <c r="D391" t="str" s="15">
        <v>Windsurf · Accesorios de uso diario</v>
      </c>
      <c r="E391" t="n" s="20">
        <v>12.95</v>
      </c>
      <c r="F391" t="str" s="15">
        <f>IF($B$7="No","Sin IVA confirmado",IF(AND($B$7="Sí",ISNUMBER($B$3)),"IVA incluido","IVA pendiente"))</f>
        <v>IVA incluido</v>
      </c>
      <c r="G391" t="n" s="20">
        <f>IF($B$7="No",E391,IF(AND($B$7="Sí",ISNUMBER($B$3)),ROUND(E391/(1+$B$3),2),""))</f>
        <v>10.7</v>
      </c>
      <c r="H391" t="str" s="15">
        <v>Catálogo visual escuelas windsurf, 09/10/2026, pág. 35</v>
      </c>
      <c r="I391" t="str" s="15">
        <v>PVP de referencia orientativo; stock y transporte por confirmar. HD Effortless usa apoyo del arnés: introducirlo con instrucción y equipo compatible.</v>
      </c>
      <c r="J391" t="n" s="21">
        <v>46307</v>
      </c>
    </row>
    <row r="392" ht="81.5" customHeight="1">
      <c r="A392" t="str" s="22">
        <v>UF052020013</v>
      </c>
      <c r="B392" t="str" s="23">
        <v>Unifiber drizas HD · HD Effortless Uphaul</v>
      </c>
      <c r="C392" t="str" s="22">
        <v>ForSchool</v>
      </c>
      <c r="D392" t="str" s="23">
        <v>Windsurf · Accesorios de uso diario</v>
      </c>
      <c r="E392" t="n" s="24">
        <v>29.95</v>
      </c>
      <c r="F392" t="str" s="23">
        <f>IF($B$7="No","Sin IVA confirmado",IF(AND($B$7="Sí",ISNUMBER($B$3)),"IVA incluido","IVA pendiente"))</f>
        <v>IVA incluido</v>
      </c>
      <c r="G392" t="n" s="24">
        <f>IF($B$7="No",E392,IF(AND($B$7="Sí",ISNUMBER($B$3)),ROUND(E392/(1+$B$3),2),""))</f>
        <v>24.75</v>
      </c>
      <c r="H392" t="str" s="23">
        <v>Catálogo visual escuelas windsurf, 09/10/2026, pág. 35</v>
      </c>
      <c r="I392" t="str" s="23">
        <v>PVP de referencia orientativo; stock y transporte por confirmar. HD Effortless usa apoyo del arnés: introducirlo con instrucción y equipo compatible.</v>
      </c>
      <c r="J392" t="n" s="25">
        <v>46307</v>
      </c>
    </row>
    <row r="393" ht="68" customHeight="1">
      <c r="A393" t="str" s="1">
        <v>UF059020040</v>
      </c>
      <c r="B393" t="str" s="15">
        <v>Unifiber arnés Freeride · Freeride Harness Size M</v>
      </c>
      <c r="C393" t="str" s="1">
        <v>ForSchool</v>
      </c>
      <c r="D393" t="str" s="15">
        <v>Windsurf · Accesorios de uso diario</v>
      </c>
      <c r="E393" t="n" s="20">
        <v>99</v>
      </c>
      <c r="F393" t="str" s="15">
        <f>IF($B$7="No","Sin IVA confirmado",IF(AND($B$7="Sí",ISNUMBER($B$3)),"IVA incluido","IVA pendiente"))</f>
        <v>IVA incluido</v>
      </c>
      <c r="G393" t="n" s="20">
        <f>IF($B$7="No",E393,IF(AND($B$7="Sí",ISNUMBER($B$3)),ROUND(E393/(1+$B$3),2),""))</f>
        <v>81.82</v>
      </c>
      <c r="H393" t="str" s="15">
        <v>Catálogo visual escuelas windsurf, 09/10/2026, pág. 36</v>
      </c>
      <c r="I393" t="str" s="15">
        <v>PVP de referencia orientativo; stock y transporte por confirmar. Tallas M/L/XL en tarifa; comprobar guía de tallas y ajuste individual.</v>
      </c>
      <c r="J393" t="n" s="21">
        <v>46307</v>
      </c>
    </row>
    <row r="394" ht="68" customHeight="1">
      <c r="A394" t="str" s="22">
        <v>UF059020050</v>
      </c>
      <c r="B394" t="str" s="23">
        <v>Unifiber arnés Freeride · Freeride Harness Size L</v>
      </c>
      <c r="C394" t="str" s="22">
        <v>ForSchool</v>
      </c>
      <c r="D394" t="str" s="23">
        <v>Windsurf · Accesorios de uso diario</v>
      </c>
      <c r="E394" t="n" s="24">
        <v>99</v>
      </c>
      <c r="F394" t="str" s="23">
        <f>IF($B$7="No","Sin IVA confirmado",IF(AND($B$7="Sí",ISNUMBER($B$3)),"IVA incluido","IVA pendiente"))</f>
        <v>IVA incluido</v>
      </c>
      <c r="G394" t="n" s="24">
        <f>IF($B$7="No",E394,IF(AND($B$7="Sí",ISNUMBER($B$3)),ROUND(E394/(1+$B$3),2),""))</f>
        <v>81.82</v>
      </c>
      <c r="H394" t="str" s="23">
        <v>Catálogo visual escuelas windsurf, 09/10/2026, pág. 36</v>
      </c>
      <c r="I394" t="str" s="23">
        <v>PVP de referencia orientativo; stock y transporte por confirmar. Tallas M/L/XL en tarifa; comprobar guía de tallas y ajuste individual.</v>
      </c>
      <c r="J394" t="n" s="25">
        <v>46307</v>
      </c>
    </row>
    <row r="395" ht="68" customHeight="1">
      <c r="A395" t="str" s="1">
        <v>UF059020060</v>
      </c>
      <c r="B395" t="str" s="15">
        <v>Unifiber arnés Freeride · Freeride Harness Size XL</v>
      </c>
      <c r="C395" t="str" s="1">
        <v>ForSchool</v>
      </c>
      <c r="D395" t="str" s="15">
        <v>Windsurf · Accesorios de uso diario</v>
      </c>
      <c r="E395" t="n" s="20">
        <v>99</v>
      </c>
      <c r="F395" t="str" s="15">
        <f>IF($B$7="No","Sin IVA confirmado",IF(AND($B$7="Sí",ISNUMBER($B$3)),"IVA incluido","IVA pendiente"))</f>
        <v>IVA incluido</v>
      </c>
      <c r="G395" t="n" s="20">
        <f>IF($B$7="No",E395,IF(AND($B$7="Sí",ISNUMBER($B$3)),ROUND(E395/(1+$B$3),2),""))</f>
        <v>81.82</v>
      </c>
      <c r="H395" t="str" s="15">
        <v>Catálogo visual escuelas windsurf, 09/10/2026, pág. 36</v>
      </c>
      <c r="I395" t="str" s="15">
        <v>PVP de referencia orientativo; stock y transporte por confirmar. Tallas M/L/XL en tarifa; comprobar guía de tallas y ajuste individual.</v>
      </c>
      <c r="J395" t="n" s="21">
        <v>46307</v>
      </c>
    </row>
    <row r="396" ht="81.5" customHeight="1">
      <c r="A396" t="str" s="22">
        <v>UF052006010</v>
      </c>
      <c r="B396" t="str" s="23">
        <v>Unifiber cabos de arnés ajustables · Essentials Harness Lines Fixed Vario 22-28 Inch</v>
      </c>
      <c r="C396" t="str" s="22">
        <v>ForSchool</v>
      </c>
      <c r="D396" t="str" s="23">
        <v>Windsurf · Accesorios de uso diario</v>
      </c>
      <c r="E396" t="n" s="24">
        <v>37.95</v>
      </c>
      <c r="F396" t="str" s="23">
        <f>IF($B$7="No","Sin IVA confirmado",IF(AND($B$7="Sí",ISNUMBER($B$3)),"IVA incluido","IVA pendiente"))</f>
        <v>IVA incluido</v>
      </c>
      <c r="G396" t="n" s="24">
        <f>IF($B$7="No",E396,IF(AND($B$7="Sí",ISNUMBER($B$3)),ROUND(E396/(1+$B$3),2),""))</f>
        <v>31.36</v>
      </c>
      <c r="H396" t="str" s="23">
        <v>Catálogo visual escuelas windsurf, 09/10/2026, pág. 37</v>
      </c>
      <c r="I396" t="str" s="23">
        <v>PVP de referencia orientativo; stock y transporte por confirmar. Colocar y equilibrar con el instructor. Verificar desgaste y sistema de fijación.</v>
      </c>
      <c r="J396" t="n" s="25">
        <v>46307</v>
      </c>
    </row>
    <row r="397" ht="81.5" customHeight="1">
      <c r="A397" t="str" s="1">
        <v>UF052006015</v>
      </c>
      <c r="B397" t="str" s="15">
        <v>Unifiber cabos de arnés ajustables · Essentials Harness Lines Fixed Vario 25-32 Inch</v>
      </c>
      <c r="C397" t="str" s="1">
        <v>ForSchool</v>
      </c>
      <c r="D397" t="str" s="15">
        <v>Windsurf · Accesorios de uso diario</v>
      </c>
      <c r="E397" t="n" s="20">
        <v>37.95</v>
      </c>
      <c r="F397" t="str" s="15">
        <f>IF($B$7="No","Sin IVA confirmado",IF(AND($B$7="Sí",ISNUMBER($B$3)),"IVA incluido","IVA pendiente"))</f>
        <v>IVA incluido</v>
      </c>
      <c r="G397" t="n" s="20">
        <f>IF($B$7="No",E397,IF(AND($B$7="Sí",ISNUMBER($B$3)),ROUND(E397/(1+$B$3),2),""))</f>
        <v>31.36</v>
      </c>
      <c r="H397" t="str" s="15">
        <v>Catálogo visual escuelas windsurf, 09/10/2026, pág. 37</v>
      </c>
      <c r="I397" t="str" s="15">
        <v>PVP de referencia orientativo; stock y transporte por confirmar. Colocar y equilibrar con el instructor. Verificar desgaste y sistema de fijación.</v>
      </c>
      <c r="J397" t="n" s="21">
        <v>46307</v>
      </c>
    </row>
    <row r="398" ht="81.5" customHeight="1">
      <c r="A398" t="str" s="22">
        <v>UF052006020</v>
      </c>
      <c r="B398" t="str" s="23">
        <v>Unifiber cabos de arnés ajustables · Essentials Harness Lines Fixed Vario 28-36 Inch</v>
      </c>
      <c r="C398" t="str" s="22">
        <v>ForSchool</v>
      </c>
      <c r="D398" t="str" s="23">
        <v>Windsurf · Accesorios de uso diario</v>
      </c>
      <c r="E398" t="n" s="24">
        <v>37.95</v>
      </c>
      <c r="F398" t="str" s="23">
        <f>IF($B$7="No","Sin IVA confirmado",IF(AND($B$7="Sí",ISNUMBER($B$3)),"IVA incluido","IVA pendiente"))</f>
        <v>IVA incluido</v>
      </c>
      <c r="G398" t="n" s="24">
        <f>IF($B$7="No",E398,IF(AND($B$7="Sí",ISNUMBER($B$3)),ROUND(E398/(1+$B$3),2),""))</f>
        <v>31.36</v>
      </c>
      <c r="H398" t="str" s="23">
        <v>Catálogo visual escuelas windsurf, 09/10/2026, pág. 37</v>
      </c>
      <c r="I398" t="str" s="23">
        <v>PVP de referencia orientativo; stock y transporte por confirmar. Colocar y equilibrar con el instructor. Verificar desgaste y sistema de fijación.</v>
      </c>
      <c r="J398" t="n" s="25">
        <v>46307</v>
      </c>
    </row>
    <row r="399" ht="81.5" customHeight="1">
      <c r="A399" t="str" s="1">
        <v>UF052009010</v>
      </c>
      <c r="B399" t="str" s="15">
        <v>Unifiber cabos de arnés ajustables · HD Harness Lines Quick Vario 22-28 Inch</v>
      </c>
      <c r="C399" t="str" s="1">
        <v>ForSchool</v>
      </c>
      <c r="D399" t="str" s="15">
        <v>Windsurf · Accesorios de uso diario</v>
      </c>
      <c r="E399" t="n" s="20">
        <v>42.96</v>
      </c>
      <c r="F399" t="str" s="15">
        <f>IF($B$7="No","Sin IVA confirmado",IF(AND($B$7="Sí",ISNUMBER($B$3)),"IVA incluido","IVA pendiente"))</f>
        <v>IVA incluido</v>
      </c>
      <c r="G399" t="n" s="20">
        <f>IF($B$7="No",E399,IF(AND($B$7="Sí",ISNUMBER($B$3)),ROUND(E399/(1+$B$3),2),""))</f>
        <v>35.5</v>
      </c>
      <c r="H399" t="str" s="15">
        <v>Catálogo visual escuelas windsurf, 09/10/2026, pág. 37</v>
      </c>
      <c r="I399" t="str" s="15">
        <v>PVP de referencia orientativo; stock y transporte por confirmar. Colocar y equilibrar con el instructor. Verificar desgaste y sistema de fijación.</v>
      </c>
      <c r="J399" t="n" s="21">
        <v>46307</v>
      </c>
    </row>
    <row r="400" ht="81.5" customHeight="1">
      <c r="A400" t="str" s="22">
        <v>UF052009015</v>
      </c>
      <c r="B400" t="str" s="23">
        <v>Unifiber cabos de arnés ajustables · HD Harness Lines Quick Vario 25-32 Inch</v>
      </c>
      <c r="C400" t="str" s="22">
        <v>ForSchool</v>
      </c>
      <c r="D400" t="str" s="23">
        <v>Windsurf · Accesorios de uso diario</v>
      </c>
      <c r="E400" t="n" s="24">
        <v>42.96</v>
      </c>
      <c r="F400" t="str" s="23">
        <f>IF($B$7="No","Sin IVA confirmado",IF(AND($B$7="Sí",ISNUMBER($B$3)),"IVA incluido","IVA pendiente"))</f>
        <v>IVA incluido</v>
      </c>
      <c r="G400" t="n" s="24">
        <f>IF($B$7="No",E400,IF(AND($B$7="Sí",ISNUMBER($B$3)),ROUND(E400/(1+$B$3),2),""))</f>
        <v>35.5</v>
      </c>
      <c r="H400" t="str" s="23">
        <v>Catálogo visual escuelas windsurf, 09/10/2026, pág. 37</v>
      </c>
      <c r="I400" t="str" s="23">
        <v>PVP de referencia orientativo; stock y transporte por confirmar. Colocar y equilibrar con el instructor. Verificar desgaste y sistema de fijación.</v>
      </c>
      <c r="J400" t="n" s="25">
        <v>46307</v>
      </c>
    </row>
    <row r="401" ht="81.5" customHeight="1">
      <c r="A401" t="str" s="1">
        <v>UF052009020</v>
      </c>
      <c r="B401" t="str" s="15">
        <v>Unifiber cabos de arnés ajustables · HD Harness Lines Quick Vario 28-36 Inch</v>
      </c>
      <c r="C401" t="str" s="1">
        <v>ForSchool</v>
      </c>
      <c r="D401" t="str" s="15">
        <v>Windsurf · Accesorios de uso diario</v>
      </c>
      <c r="E401" t="n" s="20">
        <v>42.96</v>
      </c>
      <c r="F401" t="str" s="15">
        <f>IF($B$7="No","Sin IVA confirmado",IF(AND($B$7="Sí",ISNUMBER($B$3)),"IVA incluido","IVA pendiente"))</f>
        <v>IVA incluido</v>
      </c>
      <c r="G401" t="n" s="20">
        <f>IF($B$7="No",E401,IF(AND($B$7="Sí",ISNUMBER($B$3)),ROUND(E401/(1+$B$3),2),""))</f>
        <v>35.5</v>
      </c>
      <c r="H401" t="str" s="15">
        <v>Catálogo visual escuelas windsurf, 09/10/2026, pág. 37</v>
      </c>
      <c r="I401" t="str" s="15">
        <v>PVP de referencia orientativo; stock y transporte por confirmar. Colocar y equilibrar con el instructor. Verificar desgaste y sistema de fijación.</v>
      </c>
      <c r="J401" t="n" s="21">
        <v>46307</v>
      </c>
    </row>
    <row r="402" ht="81.5" customHeight="1">
      <c r="A402" t="str" s="22">
        <v>UF050024025</v>
      </c>
      <c r="B402" t="str" s="23">
        <v>Unifiber bolsas de material · Blackline Small Equipment Carry Bag</v>
      </c>
      <c r="C402" t="str" s="22">
        <v>ForSchool</v>
      </c>
      <c r="D402" t="str" s="23">
        <v>Windsurf · Almacenaje y transporte</v>
      </c>
      <c r="E402" t="n" s="24">
        <v>64.95</v>
      </c>
      <c r="F402" t="str" s="23">
        <f>IF($B$7="No","Sin IVA confirmado",IF(AND($B$7="Sí",ISNUMBER($B$3)),"IVA incluido","IVA pendiente"))</f>
        <v>IVA incluido</v>
      </c>
      <c r="G402" t="n" s="24">
        <f>IF($B$7="No",E402,IF(AND($B$7="Sí",ISNUMBER($B$3)),ROUND(E402/(1+$B$3),2),""))</f>
        <v>53.68</v>
      </c>
      <c r="H402" t="str" s="23">
        <v>Catálogo visual escuelas windsurf, 09/10/2026, pág. 38</v>
      </c>
      <c r="I402" t="str" s="23">
        <v>PVP de referencia orientativo; stock y transporte por confirmar. Small, Medium y Wetsuit Carry Bag tienen funciones diferentes; verificar dimensiones.</v>
      </c>
      <c r="J402" t="n" s="25">
        <v>46307</v>
      </c>
    </row>
    <row r="403" ht="81.5" customHeight="1">
      <c r="A403" t="str" s="1">
        <v>UF050024026</v>
      </c>
      <c r="B403" t="str" s="15">
        <v>Unifiber bolsas de material · Blackline Medium Equipment Carry Bag</v>
      </c>
      <c r="C403" t="str" s="1">
        <v>ForSchool</v>
      </c>
      <c r="D403" t="str" s="15">
        <v>Windsurf · Almacenaje y transporte</v>
      </c>
      <c r="E403" t="n" s="20">
        <v>74.95</v>
      </c>
      <c r="F403" t="str" s="15">
        <f>IF($B$7="No","Sin IVA confirmado",IF(AND($B$7="Sí",ISNUMBER($B$3)),"IVA incluido","IVA pendiente"))</f>
        <v>IVA incluido</v>
      </c>
      <c r="G403" t="n" s="20">
        <f>IF($B$7="No",E403,IF(AND($B$7="Sí",ISNUMBER($B$3)),ROUND(E403/(1+$B$3),2),""))</f>
        <v>61.94</v>
      </c>
      <c r="H403" t="str" s="15">
        <v>Catálogo visual escuelas windsurf, 09/10/2026, pág. 38</v>
      </c>
      <c r="I403" t="str" s="15">
        <v>PVP de referencia orientativo; stock y transporte por confirmar. Small, Medium y Wetsuit Carry Bag tienen funciones diferentes; verificar dimensiones.</v>
      </c>
      <c r="J403" t="n" s="21">
        <v>46307</v>
      </c>
    </row>
    <row r="404" ht="81.5" customHeight="1">
      <c r="A404" t="str" s="22">
        <v>UF050024028</v>
      </c>
      <c r="B404" t="str" s="23">
        <v>Unifiber bolsas de material · Blackline Wetsuit Carry Bag</v>
      </c>
      <c r="C404" t="str" s="22">
        <v>ForSchool</v>
      </c>
      <c r="D404" t="str" s="23">
        <v>Windsurf · Almacenaje y transporte</v>
      </c>
      <c r="E404" t="n" s="24">
        <v>39.95</v>
      </c>
      <c r="F404" t="str" s="23">
        <f>IF($B$7="No","Sin IVA confirmado",IF(AND($B$7="Sí",ISNUMBER($B$3)),"IVA incluido","IVA pendiente"))</f>
        <v>IVA incluido</v>
      </c>
      <c r="G404" t="n" s="24">
        <f>IF($B$7="No",E404,IF(AND($B$7="Sí",ISNUMBER($B$3)),ROUND(E404/(1+$B$3),2),""))</f>
        <v>33.02</v>
      </c>
      <c r="H404" t="str" s="23">
        <v>Catálogo visual escuelas windsurf, 09/10/2026, pág. 38</v>
      </c>
      <c r="I404" t="str" s="23">
        <v>PVP de referencia orientativo; stock y transporte por confirmar. Small, Medium y Wetsuit Carry Bag tienen funciones diferentes; verificar dimensiones.</v>
      </c>
      <c r="J404" t="n" s="25">
        <v>46307</v>
      </c>
    </row>
    <row r="405" ht="81.5" customHeight="1">
      <c r="A405" t="str" s="1">
        <v>UF052020030</v>
      </c>
      <c r="B405" t="str" s="15">
        <v>Unifiber transporte de flota · Tie-Down Straps 25-mm Wide</v>
      </c>
      <c r="C405" t="str" s="1">
        <v>ForSchool</v>
      </c>
      <c r="D405" t="str" s="15">
        <v>Windsurf · Almacenaje y transporte</v>
      </c>
      <c r="E405" t="n" s="20">
        <v>24.95</v>
      </c>
      <c r="F405" t="str" s="15">
        <f>IF($B$7="No","Sin IVA confirmado",IF(AND($B$7="Sí",ISNUMBER($B$3)),"IVA incluido","IVA pendiente"))</f>
        <v>IVA incluido</v>
      </c>
      <c r="G405" t="n" s="20">
        <f>IF($B$7="No",E405,IF(AND($B$7="Sí",ISNUMBER($B$3)),ROUND(E405/(1+$B$3),2),""))</f>
        <v>20.62</v>
      </c>
      <c r="H405" t="str" s="15">
        <v>Catálogo visual escuelas windsurf, 09/10/2026, pág. 39</v>
      </c>
      <c r="I405" t="str" s="15">
        <v>PVP de referencia orientativo; stock y transporte por confirmar. Comprobar límites de carga, ajuste a la baca y sujeción. No transportar personas en el carro.</v>
      </c>
      <c r="J405" t="n" s="21">
        <v>46307</v>
      </c>
    </row>
    <row r="406" ht="81.5" customHeight="1">
      <c r="A406" t="str" s="22">
        <v>UF052020031</v>
      </c>
      <c r="B406" t="str" s="23">
        <v>Unifiber transporte de flota · Tie-Down Straps 35-mm Wide</v>
      </c>
      <c r="C406" t="str" s="22">
        <v>ForSchool</v>
      </c>
      <c r="D406" t="str" s="23">
        <v>Windsurf · Almacenaje y transporte</v>
      </c>
      <c r="E406" t="n" s="24">
        <v>29.95</v>
      </c>
      <c r="F406" t="str" s="23">
        <f>IF($B$7="No","Sin IVA confirmado",IF(AND($B$7="Sí",ISNUMBER($B$3)),"IVA incluido","IVA pendiente"))</f>
        <v>IVA incluido</v>
      </c>
      <c r="G406" t="n" s="24">
        <f>IF($B$7="No",E406,IF(AND($B$7="Sí",ISNUMBER($B$3)),ROUND(E406/(1+$B$3),2),""))</f>
        <v>24.75</v>
      </c>
      <c r="H406" t="str" s="23">
        <v>Catálogo visual escuelas windsurf, 09/10/2026, pág. 39</v>
      </c>
      <c r="I406" t="str" s="23">
        <v>PVP de referencia orientativo; stock y transporte por confirmar. Comprobar límites de carga, ajuste a la baca y sujeción. No transportar personas en el carro.</v>
      </c>
      <c r="J406" t="n" s="25">
        <v>46307</v>
      </c>
    </row>
    <row r="407" ht="95" customHeight="1">
      <c r="A407" t="str" s="1">
        <v>UF052021010</v>
      </c>
      <c r="B407" t="str" s="15">
        <v>Unifiber transporte de flota · Roofrack Pads Luxury 50 cm</v>
      </c>
      <c r="C407" t="str" s="1">
        <v>ForSchool</v>
      </c>
      <c r="D407" t="str" s="15">
        <v>Windsurf · Almacenaje y transporte</v>
      </c>
      <c r="E407" t="n" s="20">
        <v>14.94</v>
      </c>
      <c r="F407" t="str" s="15">
        <f>IF($B$7="No","Sin IVA confirmado",IF(AND($B$7="Sí",ISNUMBER($B$3)),"IVA incluido","IVA pendiente"))</f>
        <v>IVA incluido</v>
      </c>
      <c r="G407" t="n" s="20">
        <f>IF($B$7="No",E407,IF(AND($B$7="Sí",ISNUMBER($B$3)),ROUND(E407/(1+$B$3),2),""))</f>
        <v>12.35</v>
      </c>
      <c r="H407" t="str" s="15">
        <v>Catálogo visual escuelas windsurf, 09/10/2026, pág. 39</v>
      </c>
      <c r="I407" t="str" s="15">
        <v>PVP de referencia orientativo; stock y transporte por confirmar. Comprobar límites de carga, ajuste a la baca y sujeción. No transportar personas en el carro. Liquidación / PVP revisado.</v>
      </c>
      <c r="J407" t="n" s="21">
        <v>46307</v>
      </c>
    </row>
    <row r="408" ht="95" customHeight="1">
      <c r="A408" t="str" s="22">
        <v>UF052021020</v>
      </c>
      <c r="B408" t="str" s="23">
        <v>Unifiber transporte de flota · Roofrack Pads Luxury 75 cm</v>
      </c>
      <c r="C408" t="str" s="22">
        <v>ForSchool</v>
      </c>
      <c r="D408" t="str" s="23">
        <v>Windsurf · Almacenaje y transporte</v>
      </c>
      <c r="E408" t="n" s="24">
        <v>16.95</v>
      </c>
      <c r="F408" t="str" s="23">
        <f>IF($B$7="No","Sin IVA confirmado",IF(AND($B$7="Sí",ISNUMBER($B$3)),"IVA incluido","IVA pendiente"))</f>
        <v>IVA incluido</v>
      </c>
      <c r="G408" t="n" s="24">
        <f>IF($B$7="No",E408,IF(AND($B$7="Sí",ISNUMBER($B$3)),ROUND(E408/(1+$B$3),2),""))</f>
        <v>14.01</v>
      </c>
      <c r="H408" t="str" s="23">
        <v>Catálogo visual escuelas windsurf, 09/10/2026, pág. 39</v>
      </c>
      <c r="I408" t="str" s="23">
        <v>PVP de referencia orientativo; stock y transporte por confirmar. Comprobar límites de carga, ajuste a la baca y sujeción. No transportar personas en el carro. Liquidación / PVP revisado.</v>
      </c>
      <c r="J408" t="n" s="25">
        <v>46307</v>
      </c>
    </row>
    <row r="409" ht="81.5" customHeight="1">
      <c r="A409" t="str" s="1">
        <v>UF053010090</v>
      </c>
      <c r="B409" t="str" s="15">
        <v>Unifiber transporte de flota · Beach Cart</v>
      </c>
      <c r="C409" t="str" s="1">
        <v>ForSchool</v>
      </c>
      <c r="D409" t="str" s="15">
        <v>Windsurf · Almacenaje y transporte</v>
      </c>
      <c r="E409" t="n" s="20">
        <v>139</v>
      </c>
      <c r="F409" t="str" s="15">
        <f>IF($B$7="No","Sin IVA confirmado",IF(AND($B$7="Sí",ISNUMBER($B$3)),"IVA incluido","IVA pendiente"))</f>
        <v>IVA incluido</v>
      </c>
      <c r="G409" t="n" s="20">
        <f>IF($B$7="No",E409,IF(AND($B$7="Sí",ISNUMBER($B$3)),ROUND(E409/(1+$B$3),2),""))</f>
        <v>114.88</v>
      </c>
      <c r="H409" t="str" s="15">
        <v>Catálogo visual escuelas windsurf, 09/10/2026, pág. 39</v>
      </c>
      <c r="I409" t="str" s="15">
        <v>PVP de referencia orientativo; stock y transporte por confirmar. Comprobar límites de carga, ajuste a la baca y sujeción. No transportar personas en el carro.</v>
      </c>
      <c r="J409" t="n" s="21">
        <v>46307</v>
      </c>
    </row>
    <row r="410" ht="108.5" customHeight="1">
      <c r="A410" t="str" s="22">
        <v>UF050023060</v>
      </c>
      <c r="B410" t="str" s="23">
        <v>Unifiber Boardbag Pro Luxury · Boardbag Pro Luxury 255 x 80</v>
      </c>
      <c r="C410" t="str" s="22">
        <v>ForSchool</v>
      </c>
      <c r="D410" t="str" s="23">
        <v>Windsurf · Almacenaje y transporte</v>
      </c>
      <c r="E410" t="n" s="24">
        <v>159.01</v>
      </c>
      <c r="F410" t="str" s="23">
        <f>IF($B$7="No","Sin IVA confirmado",IF(AND($B$7="Sí",ISNUMBER($B$3)),"IVA incluido","IVA pendiente"))</f>
        <v>IVA incluido</v>
      </c>
      <c r="G410" t="n" s="24">
        <f>IF($B$7="No",E410,IF(AND($B$7="Sí",ISNUMBER($B$3)),ROUND(E410/(1+$B$3),2),""))</f>
        <v>131.41</v>
      </c>
      <c r="H410" t="str" s="23">
        <v>Catálogo visual escuelas windsurf, 09/10/2026, pág. 47</v>
      </c>
      <c r="I410" t="str" s="23">
        <v>PVP de referencia orientativo; stock y transporte por confirmar. Exocet la propone junto a Nano 155D; comprobar ajuste con accesorios desmontados. No sirve por dimensiones nominales para Rookie II 225; verificar otras tablas individualmente.</v>
      </c>
      <c r="J410" t="n" s="25">
        <v>46307</v>
      </c>
    </row>
    <row r="411" ht="81.5" customHeight="1">
      <c r="A411" t="str" s="1">
        <v>UF059100010</v>
      </c>
      <c r="B411" t="str" s="15">
        <v>Unifiber recambios de base · Baseplate Essentials/HD/Elite Tendon Spare Part</v>
      </c>
      <c r="C411" t="str" s="1">
        <v>ForSchool</v>
      </c>
      <c r="D411" t="str" s="15">
        <v>Windsurf · Recambios y taller</v>
      </c>
      <c r="E411" t="n" s="20">
        <v>19.95</v>
      </c>
      <c r="F411" t="str" s="15">
        <f>IF($B$7="No","Sin IVA confirmado",IF(AND($B$7="Sí",ISNUMBER($B$3)),"IVA incluido","IVA pendiente"))</f>
        <v>IVA incluido</v>
      </c>
      <c r="G411" t="n" s="20">
        <f>IF($B$7="No",E411,IF(AND($B$7="Sí",ISNUMBER($B$3)),ROUND(E411/(1+$B$3),2),""))</f>
        <v>16.49</v>
      </c>
      <c r="H411" t="str" s="15">
        <v>Catálogo visual escuelas windsurf, 09/10/2026, pág. 40</v>
      </c>
      <c r="I411" t="str" s="15">
        <v>PVP de referencia orientativo; stock y transporte por confirmar. Usar el recambio de la base concreta y revisar cabo de seguridad; no mezclar generaciones sin verificar.</v>
      </c>
      <c r="J411" t="n" s="21">
        <v>46307</v>
      </c>
    </row>
    <row r="412" ht="81.5" customHeight="1">
      <c r="A412" t="str" s="22">
        <v>UF059100012</v>
      </c>
      <c r="B412" t="str" s="23">
        <v>Unifiber recambios de base · Baseplate Essentials/HD Cardan Tendon Spare Part</v>
      </c>
      <c r="C412" t="str" s="22">
        <v>ForSchool</v>
      </c>
      <c r="D412" t="str" s="23">
        <v>Windsurf · Recambios y taller</v>
      </c>
      <c r="E412" t="n" s="24">
        <v>19.95</v>
      </c>
      <c r="F412" t="str" s="23">
        <f>IF($B$7="No","Sin IVA confirmado",IF(AND($B$7="Sí",ISNUMBER($B$3)),"IVA incluido","IVA pendiente"))</f>
        <v>IVA incluido</v>
      </c>
      <c r="G412" t="n" s="24">
        <f>IF($B$7="No",E412,IF(AND($B$7="Sí",ISNUMBER($B$3)),ROUND(E412/(1+$B$3),2),""))</f>
        <v>16.49</v>
      </c>
      <c r="H412" t="str" s="23">
        <v>Catálogo visual escuelas windsurf, 09/10/2026, pág. 40</v>
      </c>
      <c r="I412" t="str" s="23">
        <v>PVP de referencia orientativo; stock y transporte por confirmar. Usar el recambio de la base concreta y revisar cabo de seguridad; no mezclar generaciones sin verificar.</v>
      </c>
      <c r="J412" t="n" s="25">
        <v>46307</v>
      </c>
    </row>
    <row r="413" ht="81.5" customHeight="1">
      <c r="A413" t="str" s="1">
        <v>UF600000024</v>
      </c>
      <c r="B413" t="str" s="15">
        <v>Unifiber recambios de base · Baseplate Brass T-Nut M8</v>
      </c>
      <c r="C413" t="str" s="1">
        <v>ForSchool</v>
      </c>
      <c r="D413" t="str" s="15">
        <v>Windsurf · Recambios y taller</v>
      </c>
      <c r="E413" t="n" s="20">
        <v>4.95</v>
      </c>
      <c r="F413" t="str" s="15">
        <f>IF($B$7="No","Sin IVA confirmado",IF(AND($B$7="Sí",ISNUMBER($B$3)),"IVA incluido","IVA pendiente"))</f>
        <v>IVA incluido</v>
      </c>
      <c r="G413" t="n" s="20">
        <f>IF($B$7="No",E413,IF(AND($B$7="Sí",ISNUMBER($B$3)),ROUND(E413/(1+$B$3),2),""))</f>
        <v>4.09</v>
      </c>
      <c r="H413" t="str" s="15">
        <v>Catálogo visual escuelas windsurf, 09/10/2026, pág. 40</v>
      </c>
      <c r="I413" t="str" s="15">
        <v>PVP de referencia orientativo; stock y transporte por confirmar. Usar el recambio de la base concreta y revisar cabo de seguridad; no mezclar generaciones sin verificar.</v>
      </c>
      <c r="J413" t="n" s="21">
        <v>46307</v>
      </c>
    </row>
    <row r="414" ht="81.5" customHeight="1">
      <c r="A414" t="str" s="22">
        <v>UFM00010140</v>
      </c>
      <c r="B414" t="str" s="23">
        <v>Unifiber recambios de base · Baseplate Essentials/HD ISO 7380 TX M6x25mm</v>
      </c>
      <c r="C414" t="str" s="22">
        <v>ForSchool</v>
      </c>
      <c r="D414" t="str" s="23">
        <v>Windsurf · Recambios y taller</v>
      </c>
      <c r="E414" t="n" s="24">
        <v>2.95</v>
      </c>
      <c r="F414" t="str" s="23">
        <f>IF($B$7="No","Sin IVA confirmado",IF(AND($B$7="Sí",ISNUMBER($B$3)),"IVA incluido","IVA pendiente"))</f>
        <v>IVA incluido</v>
      </c>
      <c r="G414" t="n" s="24">
        <f>IF($B$7="No",E414,IF(AND($B$7="Sí",ISNUMBER($B$3)),ROUND(E414/(1+$B$3),2),""))</f>
        <v>2.44</v>
      </c>
      <c r="H414" t="str" s="23">
        <v>Catálogo visual escuelas windsurf, 09/10/2026, pág. 40</v>
      </c>
      <c r="I414" t="str" s="23">
        <v>PVP de referencia orientativo; stock y transporte por confirmar. Usar el recambio de la base concreta y revisar cabo de seguridad; no mezclar generaciones sin verificar.</v>
      </c>
      <c r="J414" t="n" s="25">
        <v>46307</v>
      </c>
    </row>
    <row r="415" ht="81.5" customHeight="1">
      <c r="A415" t="str" s="1">
        <v>UF012010278</v>
      </c>
      <c r="B415" t="str" s="15">
        <v>Unifiber recambios de botavara · Essentials Modular Boom Head (RDM &amp; SDM)</v>
      </c>
      <c r="C415" t="str" s="1">
        <v>ForSchool</v>
      </c>
      <c r="D415" t="str" s="15">
        <v>Windsurf · Recambios y taller</v>
      </c>
      <c r="E415" t="n" s="20">
        <v>47.5</v>
      </c>
      <c r="F415" t="str" s="15">
        <f>IF($B$7="No","Sin IVA confirmado",IF(AND($B$7="Sí",ISNUMBER($B$3)),"IVA incluido","IVA pendiente"))</f>
        <v>IVA incluido</v>
      </c>
      <c r="G415" t="n" s="20">
        <f>IF($B$7="No",E415,IF(AND($B$7="Sí",ISNUMBER($B$3)),ROUND(E415/(1+$B$3),2),""))</f>
        <v>39.26</v>
      </c>
      <c r="H415" t="str" s="15">
        <v>Catálogo visual escuelas windsurf, 09/10/2026, pág. 41</v>
      </c>
      <c r="I415" t="str" s="15">
        <v>PVP de referencia orientativo; stock y transporte por confirmar. Confirmar generación, diámetro y mecanismo; no todas las piezas sirven para todas las botavaras.</v>
      </c>
      <c r="J415" t="n" s="21">
        <v>46307</v>
      </c>
    </row>
    <row r="416" ht="81.5" customHeight="1">
      <c r="A416" t="str" s="22">
        <v>UF600020010</v>
      </c>
      <c r="B416" t="str" s="23">
        <v>Unifiber recambios de botavara · Boom Lever Aluminium Junior Boom</v>
      </c>
      <c r="C416" t="str" s="22">
        <v>ForSchool</v>
      </c>
      <c r="D416" t="str" s="23">
        <v>Windsurf · Recambios y taller</v>
      </c>
      <c r="E416" t="n" s="24">
        <v>15.95</v>
      </c>
      <c r="F416" t="str" s="23">
        <f>IF($B$7="No","Sin IVA confirmado",IF(AND($B$7="Sí",ISNUMBER($B$3)),"IVA incluido","IVA pendiente"))</f>
        <v>IVA incluido</v>
      </c>
      <c r="G416" t="n" s="24">
        <f>IF($B$7="No",E416,IF(AND($B$7="Sí",ISNUMBER($B$3)),ROUND(E416/(1+$B$3),2),""))</f>
        <v>13.18</v>
      </c>
      <c r="H416" t="str" s="23">
        <v>Catálogo visual escuelas windsurf, 09/10/2026, pág. 41</v>
      </c>
      <c r="I416" t="str" s="23">
        <v>PVP de referencia orientativo; stock y transporte por confirmar. Confirmar generación, diámetro y mecanismo; no todas las piezas sirven para todas las botavaras.</v>
      </c>
      <c r="J416" t="n" s="25">
        <v>46307</v>
      </c>
    </row>
    <row r="417" ht="81.5" customHeight="1">
      <c r="A417" t="str" s="1">
        <v>UF600020015</v>
      </c>
      <c r="B417" t="str" s="15">
        <v>Unifiber recambios de botavara · Boom Lever Aluminium Experience Rig Boom</v>
      </c>
      <c r="C417" t="str" s="1">
        <v>ForSchool</v>
      </c>
      <c r="D417" t="str" s="15">
        <v>Windsurf · Recambios y taller</v>
      </c>
      <c r="E417" t="n" s="20">
        <v>15.95</v>
      </c>
      <c r="F417" t="str" s="15">
        <f>IF($B$7="No","Sin IVA confirmado",IF(AND($B$7="Sí",ISNUMBER($B$3)),"IVA incluido","IVA pendiente"))</f>
        <v>IVA incluido</v>
      </c>
      <c r="G417" t="n" s="20">
        <f>IF($B$7="No",E417,IF(AND($B$7="Sí",ISNUMBER($B$3)),ROUND(E417/(1+$B$3),2),""))</f>
        <v>13.18</v>
      </c>
      <c r="H417" t="str" s="15">
        <v>Catálogo visual escuelas windsurf, 09/10/2026, pág. 41</v>
      </c>
      <c r="I417" t="str" s="15">
        <v>PVP de referencia orientativo; stock y transporte por confirmar. Confirmar generación, diámetro y mecanismo; no todas las piezas sirven para todas las botavaras.</v>
      </c>
      <c r="J417" t="n" s="21">
        <v>46307</v>
      </c>
    </row>
    <row r="418" ht="81.5" customHeight="1">
      <c r="A418" t="str" s="22">
        <v>UF590000010</v>
      </c>
      <c r="B418" t="str" s="23">
        <v>Unifiber recambios de botavara · Kids Double-Pin Locker - Black</v>
      </c>
      <c r="C418" t="str" s="22">
        <v>ForSchool</v>
      </c>
      <c r="D418" t="str" s="23">
        <v>Windsurf · Recambios y taller</v>
      </c>
      <c r="E418" t="n" s="24">
        <v>6.95</v>
      </c>
      <c r="F418" t="str" s="23">
        <f>IF($B$7="No","Sin IVA confirmado",IF(AND($B$7="Sí",ISNUMBER($B$3)),"IVA incluido","IVA pendiente"))</f>
        <v>IVA incluido</v>
      </c>
      <c r="G418" t="n" s="24">
        <f>IF($B$7="No",E418,IF(AND($B$7="Sí",ISNUMBER($B$3)),ROUND(E418/(1+$B$3),2),""))</f>
        <v>5.74</v>
      </c>
      <c r="H418" t="str" s="23">
        <v>Catálogo visual escuelas windsurf, 09/10/2026, pág. 41</v>
      </c>
      <c r="I418" t="str" s="23">
        <v>PVP de referencia orientativo; stock y transporte por confirmar. Confirmar generación, diámetro y mecanismo; no todas las piezas sirven para todas las botavaras.</v>
      </c>
      <c r="J418" t="n" s="25">
        <v>46307</v>
      </c>
    </row>
    <row r="419" ht="81.5" customHeight="1">
      <c r="A419" t="str" s="1">
        <v>UF589999999</v>
      </c>
      <c r="B419" t="str" s="15">
        <v>Unifiber recambios de botavara · Collar Kids Double-Pin Locker - Black 25mm</v>
      </c>
      <c r="C419" t="str" s="1">
        <v>ForSchool</v>
      </c>
      <c r="D419" t="str" s="15">
        <v>Windsurf · Recambios y taller</v>
      </c>
      <c r="E419" t="n" s="20">
        <v>6.95</v>
      </c>
      <c r="F419" t="str" s="15">
        <f>IF($B$7="No","Sin IVA confirmado",IF(AND($B$7="Sí",ISNUMBER($B$3)),"IVA incluido","IVA pendiente"))</f>
        <v>IVA incluido</v>
      </c>
      <c r="G419" t="n" s="20">
        <f>IF($B$7="No",E419,IF(AND($B$7="Sí",ISNUMBER($B$3)),ROUND(E419/(1+$B$3),2),""))</f>
        <v>5.74</v>
      </c>
      <c r="H419" t="str" s="15">
        <v>Catálogo visual escuelas windsurf, 09/10/2026, pág. 41</v>
      </c>
      <c r="I419" t="str" s="15">
        <v>PVP de referencia orientativo; stock y transporte por confirmar. Confirmar generación, diámetro y mecanismo; no todas las piezas sirven para todas las botavaras.</v>
      </c>
      <c r="J419" t="n" s="21">
        <v>46307</v>
      </c>
    </row>
    <row r="420" ht="81.5" customHeight="1">
      <c r="A420" t="str" s="22">
        <v>UF590000000</v>
      </c>
      <c r="B420" t="str" s="23">
        <v>Unifiber recambios de botavara · Collar Kids Double-Pin Locker - Black 27mm</v>
      </c>
      <c r="C420" t="str" s="22">
        <v>ForSchool</v>
      </c>
      <c r="D420" t="str" s="23">
        <v>Windsurf · Recambios y taller</v>
      </c>
      <c r="E420" t="n" s="24">
        <v>6.95</v>
      </c>
      <c r="F420" t="str" s="23">
        <f>IF($B$7="No","Sin IVA confirmado",IF(AND($B$7="Sí",ISNUMBER($B$3)),"IVA incluido","IVA pendiente"))</f>
        <v>IVA incluido</v>
      </c>
      <c r="G420" t="n" s="24">
        <f>IF($B$7="No",E420,IF(AND($B$7="Sí",ISNUMBER($B$3)),ROUND(E420/(1+$B$3),2),""))</f>
        <v>5.74</v>
      </c>
      <c r="H420" t="str" s="23">
        <v>Catálogo visual escuelas windsurf, 09/10/2026, pág. 41</v>
      </c>
      <c r="I420" t="str" s="23">
        <v>PVP de referencia orientativo; stock y transporte por confirmar. Confirmar generación, diámetro y mecanismo; no todas las piezas sirven para todas las botavaras.</v>
      </c>
      <c r="J420" t="n" s="25">
        <v>46307</v>
      </c>
    </row>
    <row r="421" ht="81.5" customHeight="1">
      <c r="A421" t="str" s="1">
        <v>UF600010070</v>
      </c>
      <c r="B421" t="str" s="15">
        <v>Unifiber recambios de botavara · EVA Black Boom Grip 2 Rolls 200 x 13,5 cm x 1 mm Thick</v>
      </c>
      <c r="C421" t="str" s="1">
        <v>ForSchool</v>
      </c>
      <c r="D421" t="str" s="15">
        <v>Windsurf · Recambios y taller</v>
      </c>
      <c r="E421" t="n" s="20">
        <v>35.95</v>
      </c>
      <c r="F421" t="str" s="15">
        <f>IF($B$7="No","Sin IVA confirmado",IF(AND($B$7="Sí",ISNUMBER($B$3)),"IVA incluido","IVA pendiente"))</f>
        <v>IVA incluido</v>
      </c>
      <c r="G421" t="n" s="20">
        <f>IF($B$7="No",E421,IF(AND($B$7="Sí",ISNUMBER($B$3)),ROUND(E421/(1+$B$3),2),""))</f>
        <v>29.71</v>
      </c>
      <c r="H421" t="str" s="15">
        <v>Catálogo visual escuelas windsurf, 09/10/2026, pág. 41</v>
      </c>
      <c r="I421" t="str" s="15">
        <v>PVP de referencia orientativo; stock y transporte por confirmar. Confirmar generación, diámetro y mecanismo; no todas las piezas sirven para todas las botavaras.</v>
      </c>
      <c r="J421" t="n" s="21">
        <v>46307</v>
      </c>
    </row>
    <row r="422" ht="68" customHeight="1">
      <c r="A422" t="str" s="22">
        <v>UF082010010</v>
      </c>
      <c r="B422" t="str" s="23">
        <v>Unifiber recambios de extensión · Kid Rig Adapter (Stiffer Improved Version)</v>
      </c>
      <c r="C422" t="str" s="22">
        <v>ForSchool</v>
      </c>
      <c r="D422" t="str" s="23">
        <v>Windsurf · Recambios y taller</v>
      </c>
      <c r="E422" t="n" s="24">
        <v>14.96</v>
      </c>
      <c r="F422" t="str" s="23">
        <f>IF($B$7="No","Sin IVA confirmado",IF(AND($B$7="Sí",ISNUMBER($B$3)),"IVA incluido","IVA pendiente"))</f>
        <v>IVA incluido</v>
      </c>
      <c r="G422" t="n" s="24">
        <f>IF($B$7="No",E422,IF(AND($B$7="Sí",ISNUMBER($B$3)),ROUND(E422/(1+$B$3),2),""))</f>
        <v>12.36</v>
      </c>
      <c r="H422" t="str" s="23">
        <v>Catálogo visual escuelas windsurf, 09/10/2026, pág. 42</v>
      </c>
      <c r="I422" t="str" s="23">
        <v>PVP de referencia orientativo; stock y transporte por confirmar. Verificar diámetro RDM/SDM y generación de extensión antes de pedir.</v>
      </c>
      <c r="J422" t="n" s="25">
        <v>46307</v>
      </c>
    </row>
    <row r="423" ht="68" customHeight="1">
      <c r="A423" t="str" s="1">
        <v>UF600000038</v>
      </c>
      <c r="B423" t="str" s="15">
        <v>Unifiber recambios de extensión · Mast Extension Push-Button + Spring (Red or Black) Modified</v>
      </c>
      <c r="C423" t="str" s="1">
        <v>ForSchool</v>
      </c>
      <c r="D423" t="str" s="15">
        <v>Windsurf · Recambios y taller</v>
      </c>
      <c r="E423" t="n" s="20">
        <v>5.95</v>
      </c>
      <c r="F423" t="str" s="15">
        <f>IF($B$7="No","Sin IVA confirmado",IF(AND($B$7="Sí",ISNUMBER($B$3)),"IVA incluido","IVA pendiente"))</f>
        <v>IVA incluido</v>
      </c>
      <c r="G423" t="n" s="20">
        <f>IF($B$7="No",E423,IF(AND($B$7="Sí",ISNUMBER($B$3)),ROUND(E423/(1+$B$3),2),""))</f>
        <v>4.92</v>
      </c>
      <c r="H423" t="str" s="15">
        <v>Catálogo visual escuelas windsurf, 09/10/2026, pág. 42</v>
      </c>
      <c r="I423" t="str" s="15">
        <v>PVP de referencia orientativo; stock y transporte por confirmar. Verificar diámetro RDM/SDM y generación de extensión antes de pedir.</v>
      </c>
      <c r="J423" t="n" s="21">
        <v>46307</v>
      </c>
    </row>
    <row r="424" ht="68" customHeight="1">
      <c r="A424" t="str" s="22">
        <v>UF600000040</v>
      </c>
      <c r="B424" t="str" s="23">
        <v>Unifiber recambios de extensión · Ring + Pin RDM Extension</v>
      </c>
      <c r="C424" t="str" s="22">
        <v>ForSchool</v>
      </c>
      <c r="D424" t="str" s="23">
        <v>Windsurf · Recambios y taller</v>
      </c>
      <c r="E424" t="n" s="24">
        <v>6.95</v>
      </c>
      <c r="F424" t="str" s="23">
        <f>IF($B$7="No","Sin IVA confirmado",IF(AND($B$7="Sí",ISNUMBER($B$3)),"IVA incluido","IVA pendiente"))</f>
        <v>IVA incluido</v>
      </c>
      <c r="G424" t="n" s="24">
        <f>IF($B$7="No",E424,IF(AND($B$7="Sí",ISNUMBER($B$3)),ROUND(E424/(1+$B$3),2),""))</f>
        <v>5.74</v>
      </c>
      <c r="H424" t="str" s="23">
        <v>Catálogo visual escuelas windsurf, 09/10/2026, pág. 42</v>
      </c>
      <c r="I424" t="str" s="23">
        <v>PVP de referencia orientativo; stock y transporte por confirmar. Verificar diámetro RDM/SDM y generación de extensión antes de pedir.</v>
      </c>
      <c r="J424" t="n" s="25">
        <v>46307</v>
      </c>
    </row>
    <row r="425" ht="68" customHeight="1">
      <c r="A425" t="str" s="1">
        <v>UF600000045</v>
      </c>
      <c r="B425" t="str" s="15">
        <v>Unifiber recambios de extensión · Adjustable Collar SDM Basic Extension</v>
      </c>
      <c r="C425" t="str" s="1">
        <v>ForSchool</v>
      </c>
      <c r="D425" t="str" s="15">
        <v>Windsurf · Recambios y taller</v>
      </c>
      <c r="E425" t="n" s="20">
        <v>6.95</v>
      </c>
      <c r="F425" t="str" s="15">
        <f>IF($B$7="No","Sin IVA confirmado",IF(AND($B$7="Sí",ISNUMBER($B$3)),"IVA incluido","IVA pendiente"))</f>
        <v>IVA incluido</v>
      </c>
      <c r="G425" t="n" s="20">
        <f>IF($B$7="No",E425,IF(AND($B$7="Sí",ISNUMBER($B$3)),ROUND(E425/(1+$B$3),2),""))</f>
        <v>5.74</v>
      </c>
      <c r="H425" t="str" s="15">
        <v>Catálogo visual escuelas windsurf, 09/10/2026, pág. 42</v>
      </c>
      <c r="I425" t="str" s="15">
        <v>PVP de referencia orientativo; stock y transporte por confirmar. Verificar diámetro RDM/SDM y generación de extensión antes de pedir.</v>
      </c>
      <c r="J425" t="n" s="21">
        <v>46307</v>
      </c>
    </row>
    <row r="426" ht="68" customHeight="1">
      <c r="A426" t="str" s="22">
        <v>UF052020072</v>
      </c>
      <c r="B426" t="str" s="23">
        <v>Unifiber EVA de reposición · Footpad Sheet 80 x 60 cm Diamond Groove White</v>
      </c>
      <c r="C426" t="str" s="22">
        <v>ForSchool</v>
      </c>
      <c r="D426" t="str" s="23">
        <v>Windsurf · Recambios y taller</v>
      </c>
      <c r="E426" t="n" s="24">
        <v>49.95</v>
      </c>
      <c r="F426" t="str" s="23">
        <f>IF($B$7="No","Sin IVA confirmado",IF(AND($B$7="Sí",ISNUMBER($B$3)),"IVA incluido","IVA pendiente"))</f>
        <v>IVA incluido</v>
      </c>
      <c r="G426" t="n" s="24">
        <f>IF($B$7="No",E426,IF(AND($B$7="Sí",ISNUMBER($B$3)),ROUND(E426/(1+$B$3),2),""))</f>
        <v>41.28</v>
      </c>
      <c r="H426" t="str" s="23">
        <v>Catálogo visual escuelas windsurf, 09/10/2026, pág. 43</v>
      </c>
      <c r="I426" t="str" s="23">
        <v>PVP de referencia orientativo; stock y transporte por confirmar. 80 × 60 cm por plancha; confirmar adhesivo, acabado y método de instalación.</v>
      </c>
      <c r="J426" t="n" s="25">
        <v>46307</v>
      </c>
    </row>
    <row r="427" ht="68" customHeight="1">
      <c r="A427" t="str" s="1">
        <v>UF052020075</v>
      </c>
      <c r="B427" t="str" s="15">
        <v>Unifiber EVA de reposición · Footpad Sheet 80 x 60 cm Diamond Groove Black</v>
      </c>
      <c r="C427" t="str" s="1">
        <v>ForSchool</v>
      </c>
      <c r="D427" t="str" s="15">
        <v>Windsurf · Recambios y taller</v>
      </c>
      <c r="E427" t="n" s="20">
        <v>49.95</v>
      </c>
      <c r="F427" t="str" s="15">
        <f>IF($B$7="No","Sin IVA confirmado",IF(AND($B$7="Sí",ISNUMBER($B$3)),"IVA incluido","IVA pendiente"))</f>
        <v>IVA incluido</v>
      </c>
      <c r="G427" t="n" s="20">
        <f>IF($B$7="No",E427,IF(AND($B$7="Sí",ISNUMBER($B$3)),ROUND(E427/(1+$B$3),2),""))</f>
        <v>41.28</v>
      </c>
      <c r="H427" t="str" s="15">
        <v>Catálogo visual escuelas windsurf, 09/10/2026, pág. 43</v>
      </c>
      <c r="I427" t="str" s="15">
        <v>PVP de referencia orientativo; stock y transporte por confirmar. 80 × 60 cm por plancha; confirmar adhesivo, acabado y método de instalación.</v>
      </c>
      <c r="J427" t="n" s="21">
        <v>46307</v>
      </c>
    </row>
    <row r="428" ht="81.5" customHeight="1">
      <c r="A428" t="str" s="22">
        <v>UF600000099</v>
      </c>
      <c r="B428" t="str" s="23">
        <v>Unifiber reparación de vela · 10 tiras transparentes de 100 × 15 cm</v>
      </c>
      <c r="C428" t="str" s="22">
        <v>ForSchool</v>
      </c>
      <c r="D428" t="str" s="23">
        <v>Windsurf · Recambios y taller</v>
      </c>
      <c r="E428" t="n" s="24">
        <v>34.94</v>
      </c>
      <c r="F428" t="str" s="23">
        <f>IF($B$7="No","Sin IVA confirmado",IF(AND($B$7="Sí",ISNUMBER($B$3)),"IVA incluido","IVA pendiente"))</f>
        <v>IVA incluido</v>
      </c>
      <c r="G428" t="n" s="24">
        <f>IF($B$7="No",E428,IF(AND($B$7="Sí",ISNUMBER($B$3)),ROUND(E428/(1+$B$3),2),""))</f>
        <v>28.88</v>
      </c>
      <c r="H428" t="str" s="23">
        <v>Catálogo visual escuelas windsurf, 09/10/2026, pág. 44</v>
      </c>
      <c r="I428" t="str" s="23">
        <v>PVP de referencia orientativo; stock y transporte por confirmar. Lote de 10 tiras de 100 × 15 cm según tarifa. Evaluar si el daño requiere reparación profesional.</v>
      </c>
      <c r="J428" t="n" s="25">
        <v>46307</v>
      </c>
    </row>
    <row r="429" ht="81.5" customHeight="1">
      <c r="A429" t="str" s="1">
        <v>UF052020040</v>
      </c>
      <c r="B429" t="str" s="15">
        <v>Unifiber Footstrap Comfort · Footstrap Comfort</v>
      </c>
      <c r="C429" t="str" s="1">
        <v>ForSchool</v>
      </c>
      <c r="D429" t="str" s="15">
        <v>Windsurf · Recambios y taller</v>
      </c>
      <c r="E429" t="n" s="20">
        <v>19.95</v>
      </c>
      <c r="F429" t="str" s="15">
        <f>IF($B$7="No","Sin IVA confirmado",IF(AND($B$7="Sí",ISNUMBER($B$3)),"IVA incluido","IVA pendiente"))</f>
        <v>IVA incluido</v>
      </c>
      <c r="G429" t="n" s="20">
        <f>IF($B$7="No",E429,IF(AND($B$7="Sí",ISNUMBER($B$3)),ROUND(E429/(1+$B$3),2),""))</f>
        <v>16.49</v>
      </c>
      <c r="H429" t="str" s="15">
        <v>Catálogo visual escuelas windsurf, 09/10/2026, pág. 45</v>
      </c>
      <c r="I429" t="str" s="15">
        <v>PVP de referencia orientativo; stock y transporte por confirmar. Revisar tornillos y arandelas propios de cada tabla; no añadir straps a iniciación sin criterio del instructor.</v>
      </c>
      <c r="J429" t="n" s="21">
        <v>46307</v>
      </c>
    </row>
    <row r="430" ht="95" customHeight="1">
      <c r="A430" t="str" s="22">
        <v>UF060070003</v>
      </c>
      <c r="B430" t="str" s="23">
        <v>Unifiber herramientas de tensado · Downhaul Tool Basic Stainless Steel</v>
      </c>
      <c r="C430" t="str" s="22">
        <v>ForSchool</v>
      </c>
      <c r="D430" t="str" s="23">
        <v>Windsurf · Recambios y taller</v>
      </c>
      <c r="E430" t="n" s="24">
        <v>19.95</v>
      </c>
      <c r="F430" t="str" s="23">
        <f>IF($B$7="No","Sin IVA confirmado",IF(AND($B$7="Sí",ISNUMBER($B$3)),"IVA incluido","IVA pendiente"))</f>
        <v>IVA incluido</v>
      </c>
      <c r="G430" t="n" s="24">
        <f>IF($B$7="No",E430,IF(AND($B$7="Sí",ISNUMBER($B$3)),ROUND(E430/(1+$B$3),2),""))</f>
        <v>16.49</v>
      </c>
      <c r="H430" t="str" s="23">
        <v>Catálogo visual escuelas windsurf, 09/10/2026, pág. 46</v>
      </c>
      <c r="I430" t="str" s="23">
        <v>PVP de referencia orientativo; stock y transporte por confirmar. El modelo HD lleva cabeza Phillips integrada. Respetar las tensiones de montaje de la vela. Liquidación / PVP revisado.</v>
      </c>
      <c r="J430" t="n" s="25">
        <v>46307</v>
      </c>
    </row>
    <row r="431" ht="95" customHeight="1">
      <c r="A431" t="str" s="1">
        <v>UF060070007</v>
      </c>
      <c r="B431" t="str" s="15">
        <v>Unifiber herramientas de tensado · Downhaul Tool HD With Stainless Steel Integr. Philips Head</v>
      </c>
      <c r="C431" t="str" s="1">
        <v>ForSchool</v>
      </c>
      <c r="D431" t="str" s="15">
        <v>Windsurf · Recambios y taller</v>
      </c>
      <c r="E431" t="n" s="20">
        <v>34.94</v>
      </c>
      <c r="F431" t="str" s="15">
        <f>IF($B$7="No","Sin IVA confirmado",IF(AND($B$7="Sí",ISNUMBER($B$3)),"IVA incluido","IVA pendiente"))</f>
        <v>IVA incluido</v>
      </c>
      <c r="G431" t="n" s="20">
        <f>IF($B$7="No",E431,IF(AND($B$7="Sí",ISNUMBER($B$3)),ROUND(E431/(1+$B$3),2),""))</f>
        <v>28.88</v>
      </c>
      <c r="H431" t="str" s="15">
        <v>Catálogo visual escuelas windsurf, 09/10/2026, pág. 46</v>
      </c>
      <c r="I431" t="str" s="15">
        <v>PVP de referencia orientativo; stock y transporte por confirmar. El modelo HD lleva cabeza Phillips integrada. Respetar las tensiones de montaje de la vela. Liquidación / PVP revisado.</v>
      </c>
      <c r="J431" t="n" s="21">
        <v>46307</v>
      </c>
    </row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J2"/>
    <mergeCell ref="C3:J3"/>
    <mergeCell ref="A4:J4"/>
    <mergeCell ref="A5:J5"/>
    <mergeCell ref="A6:J6"/>
    <mergeCell ref="C7:J7"/>
  </mergeCells>
  <dataValidations>
    <dataValidation type="decimal" allowBlank="1" sqref="B3">
      <formula1>0.0</formula1>
      <formula2>1.0</formula2>
    </dataValidation>
    <dataValidation type="list" allowBlank="1" sqref="B7">
      <formula1>"Pendiente,Sí,No"</formula1>
    </dataValidation>
  </dataValidations>
  <printOptions/>
  <pageMargins bottom="0.75" footer="0.0" header="0.0" left="0.7" right="0.7" top="0.75"/>
  <pageSetup orientation="landscape"/>
  <drawing r:id="rId1"/>
</worksheet>
</file>